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ÓN TRANSPARENCIA PAGINA INTERNET 2019\3er Trimestre 2019\"/>
    </mc:Choice>
  </mc:AlternateContent>
  <bookViews>
    <workbookView xWindow="0" yWindow="0" windowWidth="20490" windowHeight="7755" activeTab="3"/>
  </bookViews>
  <sheets>
    <sheet name="RESUMEN" sheetId="1" r:id="rId1"/>
    <sheet name="PDM" sheetId="3" r:id="rId2"/>
    <sheet name="FORTAMUNDF" sheetId="5" r:id="rId3"/>
    <sheet name="FISMDF" sheetId="6" r:id="rId4"/>
    <sheet name="FOREMOBA" sheetId="8" r:id="rId5"/>
    <sheet name="FORTASEG" sheetId="7" r:id="rId6"/>
  </sheets>
  <definedNames>
    <definedName name="_xlnm._FilterDatabase" localSheetId="3" hidden="1">FISMDF!$A$14:$Y$94</definedName>
    <definedName name="_xlnm._FilterDatabase" localSheetId="1" hidden="1">PDM!$A$10:$WUD$71</definedName>
    <definedName name="_xlnm.Print_Area" localSheetId="4">FOREMOBA!$A$1:$U$20</definedName>
    <definedName name="_xlnm.Print_Area" localSheetId="2">FORTAMUNDF!$A$1:$AD$31</definedName>
    <definedName name="_xlnm.Print_Area" localSheetId="5">FORTASEG!$A$1:$AD$23</definedName>
    <definedName name="_xlnm.Print_Area" localSheetId="1">PDM!$A$1:$U$102</definedName>
    <definedName name="_xlnm.Print_Area" localSheetId="0">RESUMEN!$C$4:$Y$41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L19" i="7" l="1"/>
  <c r="S35" i="1" l="1"/>
  <c r="N94" i="3" l="1"/>
  <c r="I82" i="3" l="1"/>
  <c r="H99" i="3" l="1"/>
  <c r="J96" i="3"/>
  <c r="L96" i="3" s="1"/>
  <c r="K96" i="3" s="1"/>
  <c r="I96" i="3"/>
  <c r="N96" i="3" s="1"/>
  <c r="G96" i="3"/>
  <c r="J95" i="3"/>
  <c r="L95" i="3" s="1"/>
  <c r="K95" i="3" s="1"/>
  <c r="G95" i="3"/>
  <c r="L94" i="3"/>
  <c r="K94" i="3" s="1"/>
  <c r="J94" i="3"/>
  <c r="I94" i="3"/>
  <c r="G94" i="3"/>
  <c r="J93" i="3"/>
  <c r="L93" i="3" s="1"/>
  <c r="K93" i="3" s="1"/>
  <c r="G93" i="3"/>
  <c r="L92" i="3"/>
  <c r="K92" i="3" s="1"/>
  <c r="J92" i="3"/>
  <c r="I92" i="3"/>
  <c r="N92" i="3" s="1"/>
  <c r="G92" i="3"/>
  <c r="J91" i="3"/>
  <c r="L91" i="3" s="1"/>
  <c r="K91" i="3" s="1"/>
  <c r="G91" i="3"/>
  <c r="L90" i="3"/>
  <c r="K90" i="3" s="1"/>
  <c r="J90" i="3"/>
  <c r="I90" i="3"/>
  <c r="N90" i="3" s="1"/>
  <c r="G90" i="3"/>
  <c r="J89" i="3"/>
  <c r="L89" i="3" s="1"/>
  <c r="K89" i="3" s="1"/>
  <c r="G89" i="3"/>
  <c r="N88" i="3"/>
  <c r="L88" i="3"/>
  <c r="K88" i="3" s="1"/>
  <c r="J88" i="3"/>
  <c r="I88" i="3"/>
  <c r="G88" i="3"/>
  <c r="J87" i="3"/>
  <c r="L87" i="3" s="1"/>
  <c r="K87" i="3" s="1"/>
  <c r="G87" i="3"/>
  <c r="L86" i="3"/>
  <c r="K86" i="3" s="1"/>
  <c r="J86" i="3"/>
  <c r="I86" i="3"/>
  <c r="N86" i="3" s="1"/>
  <c r="G86" i="3"/>
  <c r="J85" i="3"/>
  <c r="L85" i="3" s="1"/>
  <c r="K85" i="3" s="1"/>
  <c r="G85" i="3"/>
  <c r="L84" i="3"/>
  <c r="K84" i="3" s="1"/>
  <c r="J84" i="3"/>
  <c r="I84" i="3"/>
  <c r="N84" i="3" s="1"/>
  <c r="G84" i="3"/>
  <c r="J83" i="3"/>
  <c r="L83" i="3" s="1"/>
  <c r="K83" i="3" s="1"/>
  <c r="I83" i="3"/>
  <c r="G83" i="3"/>
  <c r="N82" i="3"/>
  <c r="L82" i="3"/>
  <c r="K82" i="3" s="1"/>
  <c r="G82" i="3"/>
  <c r="J81" i="3"/>
  <c r="L81" i="3" s="1"/>
  <c r="K81" i="3" s="1"/>
  <c r="I81" i="3"/>
  <c r="N81" i="3" s="1"/>
  <c r="G81" i="3"/>
  <c r="J80" i="3"/>
  <c r="L80" i="3" s="1"/>
  <c r="K80" i="3" s="1"/>
  <c r="G80" i="3"/>
  <c r="L79" i="3"/>
  <c r="K79" i="3"/>
  <c r="J79" i="3"/>
  <c r="I79" i="3" s="1"/>
  <c r="N79" i="3" s="1"/>
  <c r="G79" i="3"/>
  <c r="J78" i="3"/>
  <c r="L78" i="3" s="1"/>
  <c r="K78" i="3" s="1"/>
  <c r="G78" i="3"/>
  <c r="J77" i="3"/>
  <c r="L77" i="3" s="1"/>
  <c r="K77" i="3" s="1"/>
  <c r="I77" i="3"/>
  <c r="G77" i="3"/>
  <c r="N76" i="3"/>
  <c r="L76" i="3"/>
  <c r="K76" i="3" s="1"/>
  <c r="I76" i="3"/>
  <c r="G76" i="3"/>
  <c r="J75" i="3"/>
  <c r="I75" i="3" s="1"/>
  <c r="N75" i="3" s="1"/>
  <c r="G75" i="3"/>
  <c r="L74" i="3"/>
  <c r="K74" i="3" s="1"/>
  <c r="J74" i="3"/>
  <c r="I74" i="3" s="1"/>
  <c r="N74" i="3" s="1"/>
  <c r="G74" i="3"/>
  <c r="J73" i="3"/>
  <c r="I73" i="3" s="1"/>
  <c r="G73" i="3"/>
  <c r="J72" i="3"/>
  <c r="I72" i="3" s="1"/>
  <c r="N72" i="3" s="1"/>
  <c r="G72" i="3"/>
  <c r="J71" i="3"/>
  <c r="I71" i="3" s="1"/>
  <c r="G71" i="3"/>
  <c r="L70" i="3"/>
  <c r="K70" i="3" s="1"/>
  <c r="J70" i="3"/>
  <c r="I70" i="3" s="1"/>
  <c r="G70" i="3"/>
  <c r="J69" i="3"/>
  <c r="I69" i="3" s="1"/>
  <c r="N69" i="3" s="1"/>
  <c r="G69" i="3"/>
  <c r="J68" i="3"/>
  <c r="I68" i="3" s="1"/>
  <c r="G68" i="3"/>
  <c r="J67" i="3"/>
  <c r="I67" i="3" s="1"/>
  <c r="N67" i="3" s="1"/>
  <c r="G67" i="3"/>
  <c r="J66" i="3"/>
  <c r="I66" i="3" s="1"/>
  <c r="G66" i="3"/>
  <c r="J65" i="3"/>
  <c r="I65" i="3" s="1"/>
  <c r="G65" i="3"/>
  <c r="L64" i="3"/>
  <c r="K64" i="3" s="1"/>
  <c r="J64" i="3"/>
  <c r="I64" i="3" s="1"/>
  <c r="N64" i="3" s="1"/>
  <c r="G64" i="3"/>
  <c r="J63" i="3"/>
  <c r="I63" i="3" s="1"/>
  <c r="G63" i="3"/>
  <c r="L62" i="3"/>
  <c r="K62" i="3" s="1"/>
  <c r="J62" i="3"/>
  <c r="I62" i="3" s="1"/>
  <c r="N62" i="3" s="1"/>
  <c r="G62" i="3"/>
  <c r="J61" i="3"/>
  <c r="I61" i="3" s="1"/>
  <c r="G61" i="3"/>
  <c r="J60" i="3"/>
  <c r="I60" i="3" s="1"/>
  <c r="N60" i="3" s="1"/>
  <c r="G60" i="3"/>
  <c r="J59" i="3"/>
  <c r="I59" i="3" s="1"/>
  <c r="N59" i="3" s="1"/>
  <c r="G59" i="3"/>
  <c r="J58" i="3"/>
  <c r="I58" i="3" s="1"/>
  <c r="G58" i="3"/>
  <c r="L57" i="3"/>
  <c r="K57" i="3" s="1"/>
  <c r="I57" i="3"/>
  <c r="G57" i="3"/>
  <c r="J56" i="3"/>
  <c r="L56" i="3" s="1"/>
  <c r="K56" i="3" s="1"/>
  <c r="G56" i="3"/>
  <c r="L55" i="3"/>
  <c r="K55" i="3" s="1"/>
  <c r="J55" i="3"/>
  <c r="I55" i="3" s="1"/>
  <c r="N55" i="3" s="1"/>
  <c r="G55" i="3"/>
  <c r="J54" i="3"/>
  <c r="I54" i="3" s="1"/>
  <c r="G54" i="3"/>
  <c r="L53" i="3"/>
  <c r="K53" i="3" s="1"/>
  <c r="J53" i="3"/>
  <c r="I53" i="3"/>
  <c r="N53" i="3" s="1"/>
  <c r="G53" i="3"/>
  <c r="J52" i="3"/>
  <c r="L52" i="3" s="1"/>
  <c r="K52" i="3" s="1"/>
  <c r="G52" i="3"/>
  <c r="J51" i="3"/>
  <c r="L51" i="3" s="1"/>
  <c r="K51" i="3" s="1"/>
  <c r="I51" i="3"/>
  <c r="G51" i="3"/>
  <c r="J50" i="3"/>
  <c r="L50" i="3" s="1"/>
  <c r="K50" i="3" s="1"/>
  <c r="G50" i="3"/>
  <c r="J49" i="3"/>
  <c r="L49" i="3" s="1"/>
  <c r="K49" i="3" s="1"/>
  <c r="I49" i="3"/>
  <c r="N49" i="3" s="1"/>
  <c r="G49" i="3"/>
  <c r="J48" i="3"/>
  <c r="I48" i="3" s="1"/>
  <c r="N48" i="3" s="1"/>
  <c r="G48" i="3"/>
  <c r="J47" i="3"/>
  <c r="L47" i="3" s="1"/>
  <c r="K47" i="3" s="1"/>
  <c r="G47" i="3"/>
  <c r="J46" i="3"/>
  <c r="L46" i="3" s="1"/>
  <c r="K46" i="3" s="1"/>
  <c r="G46" i="3"/>
  <c r="L45" i="3"/>
  <c r="K45" i="3"/>
  <c r="J45" i="3"/>
  <c r="I45" i="3"/>
  <c r="N45" i="3" s="1"/>
  <c r="G45" i="3"/>
  <c r="J44" i="3"/>
  <c r="L44" i="3" s="1"/>
  <c r="K44" i="3" s="1"/>
  <c r="G44" i="3"/>
  <c r="L43" i="3"/>
  <c r="K43" i="3" s="1"/>
  <c r="J43" i="3"/>
  <c r="I43" i="3"/>
  <c r="G43" i="3"/>
  <c r="J42" i="3"/>
  <c r="L42" i="3" s="1"/>
  <c r="K42" i="3" s="1"/>
  <c r="G42" i="3"/>
  <c r="J41" i="3"/>
  <c r="L41" i="3" s="1"/>
  <c r="K41" i="3" s="1"/>
  <c r="I41" i="3"/>
  <c r="N41" i="3" s="1"/>
  <c r="G41" i="3"/>
  <c r="J40" i="3"/>
  <c r="L40" i="3" s="1"/>
  <c r="K40" i="3" s="1"/>
  <c r="G40" i="3"/>
  <c r="J39" i="3"/>
  <c r="L39" i="3" s="1"/>
  <c r="K39" i="3" s="1"/>
  <c r="I39" i="3"/>
  <c r="N39" i="3" s="1"/>
  <c r="G39" i="3"/>
  <c r="J38" i="3"/>
  <c r="I38" i="3" s="1"/>
  <c r="N38" i="3" s="1"/>
  <c r="G38" i="3"/>
  <c r="J37" i="3"/>
  <c r="L37" i="3" s="1"/>
  <c r="K37" i="3" s="1"/>
  <c r="I37" i="3"/>
  <c r="N37" i="3" s="1"/>
  <c r="G37" i="3"/>
  <c r="J36" i="3"/>
  <c r="L36" i="3" s="1"/>
  <c r="K36" i="3" s="1"/>
  <c r="G36" i="3"/>
  <c r="J35" i="3"/>
  <c r="L35" i="3" s="1"/>
  <c r="K35" i="3" s="1"/>
  <c r="G35" i="3"/>
  <c r="J34" i="3"/>
  <c r="L34" i="3" s="1"/>
  <c r="K34" i="3" s="1"/>
  <c r="G34" i="3"/>
  <c r="J33" i="3"/>
  <c r="I33" i="3" s="1"/>
  <c r="N33" i="3" s="1"/>
  <c r="G33" i="3"/>
  <c r="J32" i="3"/>
  <c r="I32" i="3" s="1"/>
  <c r="N32" i="3" s="1"/>
  <c r="G32" i="3"/>
  <c r="L31" i="3"/>
  <c r="K31" i="3" s="1"/>
  <c r="J31" i="3"/>
  <c r="I31" i="3" s="1"/>
  <c r="N31" i="3" s="1"/>
  <c r="G31" i="3"/>
  <c r="J30" i="3"/>
  <c r="L30" i="3" s="1"/>
  <c r="K30" i="3" s="1"/>
  <c r="G30" i="3"/>
  <c r="L29" i="3"/>
  <c r="K29" i="3" s="1"/>
  <c r="J29" i="3"/>
  <c r="I29" i="3"/>
  <c r="N29" i="3" s="1"/>
  <c r="G29" i="3"/>
  <c r="J28" i="3"/>
  <c r="I28" i="3" s="1"/>
  <c r="N28" i="3" s="1"/>
  <c r="G28" i="3"/>
  <c r="J27" i="3"/>
  <c r="L27" i="3" s="1"/>
  <c r="K27" i="3" s="1"/>
  <c r="I27" i="3"/>
  <c r="G27" i="3"/>
  <c r="J26" i="3"/>
  <c r="L26" i="3" s="1"/>
  <c r="K26" i="3" s="1"/>
  <c r="G26" i="3"/>
  <c r="J25" i="3"/>
  <c r="L25" i="3" s="1"/>
  <c r="K25" i="3" s="1"/>
  <c r="G25" i="3"/>
  <c r="J24" i="3"/>
  <c r="I24" i="3" s="1"/>
  <c r="N24" i="3" s="1"/>
  <c r="G24" i="3"/>
  <c r="J23" i="3"/>
  <c r="L23" i="3" s="1"/>
  <c r="K23" i="3" s="1"/>
  <c r="G23" i="3"/>
  <c r="J22" i="3"/>
  <c r="L22" i="3" s="1"/>
  <c r="K22" i="3" s="1"/>
  <c r="G22" i="3"/>
  <c r="L21" i="3"/>
  <c r="K21" i="3" s="1"/>
  <c r="J21" i="3"/>
  <c r="I21" i="3" s="1"/>
  <c r="N21" i="3" s="1"/>
  <c r="G21" i="3"/>
  <c r="J20" i="3"/>
  <c r="I20" i="3" s="1"/>
  <c r="G20" i="3"/>
  <c r="L19" i="3"/>
  <c r="K19" i="3" s="1"/>
  <c r="J19" i="3"/>
  <c r="I19" i="3" s="1"/>
  <c r="N19" i="3" s="1"/>
  <c r="G19" i="3"/>
  <c r="J18" i="3"/>
  <c r="L18" i="3" s="1"/>
  <c r="K18" i="3" s="1"/>
  <c r="G18" i="3"/>
  <c r="L17" i="3"/>
  <c r="K17" i="3" s="1"/>
  <c r="J17" i="3"/>
  <c r="I17" i="3"/>
  <c r="N17" i="3" s="1"/>
  <c r="G17" i="3"/>
  <c r="J16" i="3"/>
  <c r="I16" i="3" s="1"/>
  <c r="N16" i="3" s="1"/>
  <c r="G16" i="3"/>
  <c r="J15" i="3"/>
  <c r="L15" i="3" s="1"/>
  <c r="K15" i="3" s="1"/>
  <c r="I15" i="3"/>
  <c r="N15" i="3" s="1"/>
  <c r="G15" i="3"/>
  <c r="J14" i="3"/>
  <c r="I14" i="3" s="1"/>
  <c r="N14" i="3" s="1"/>
  <c r="G14" i="3"/>
  <c r="J13" i="3"/>
  <c r="L13" i="3" s="1"/>
  <c r="K13" i="3" s="1"/>
  <c r="I13" i="3"/>
  <c r="G13" i="3"/>
  <c r="J12" i="3"/>
  <c r="G12" i="3"/>
  <c r="L11" i="3"/>
  <c r="K11" i="3"/>
  <c r="J11" i="3"/>
  <c r="I11" i="3"/>
  <c r="N11" i="3" s="1"/>
  <c r="G11" i="3"/>
  <c r="I23" i="3" l="1"/>
  <c r="N23" i="3" s="1"/>
  <c r="I47" i="3"/>
  <c r="N47" i="3" s="1"/>
  <c r="I85" i="3"/>
  <c r="N85" i="3" s="1"/>
  <c r="I91" i="3"/>
  <c r="N91" i="3" s="1"/>
  <c r="N27" i="3"/>
  <c r="L33" i="3"/>
  <c r="K33" i="3" s="1"/>
  <c r="N51" i="3"/>
  <c r="N54" i="3"/>
  <c r="N58" i="3"/>
  <c r="L72" i="3"/>
  <c r="K72" i="3" s="1"/>
  <c r="N20" i="3"/>
  <c r="L58" i="3"/>
  <c r="K58" i="3" s="1"/>
  <c r="N63" i="3"/>
  <c r="N68" i="3"/>
  <c r="N77" i="3"/>
  <c r="L68" i="3"/>
  <c r="K68" i="3" s="1"/>
  <c r="N73" i="3"/>
  <c r="I80" i="3"/>
  <c r="N80" i="3" s="1"/>
  <c r="N83" i="3"/>
  <c r="I89" i="3"/>
  <c r="N89" i="3" s="1"/>
  <c r="I95" i="3"/>
  <c r="I35" i="3"/>
  <c r="N35" i="3" s="1"/>
  <c r="I78" i="3"/>
  <c r="N78" i="3" s="1"/>
  <c r="I25" i="3"/>
  <c r="N25" i="3" s="1"/>
  <c r="L60" i="3"/>
  <c r="K60" i="3" s="1"/>
  <c r="N65" i="3"/>
  <c r="N70" i="3"/>
  <c r="I87" i="3"/>
  <c r="I93" i="3"/>
  <c r="N93" i="3" s="1"/>
  <c r="G99" i="3"/>
  <c r="N43" i="3"/>
  <c r="N61" i="3"/>
  <c r="N66" i="3"/>
  <c r="J99" i="3"/>
  <c r="L66" i="3"/>
  <c r="K66" i="3" s="1"/>
  <c r="N71" i="3"/>
  <c r="L16" i="3"/>
  <c r="K16" i="3" s="1"/>
  <c r="L28" i="3"/>
  <c r="K28" i="3" s="1"/>
  <c r="L48" i="3"/>
  <c r="K48" i="3" s="1"/>
  <c r="L59" i="3"/>
  <c r="K59" i="3" s="1"/>
  <c r="L61" i="3"/>
  <c r="K61" i="3" s="1"/>
  <c r="L63" i="3"/>
  <c r="K63" i="3" s="1"/>
  <c r="L65" i="3"/>
  <c r="K65" i="3" s="1"/>
  <c r="L67" i="3"/>
  <c r="K67" i="3" s="1"/>
  <c r="L69" i="3"/>
  <c r="K69" i="3" s="1"/>
  <c r="L71" i="3"/>
  <c r="K71" i="3" s="1"/>
  <c r="L73" i="3"/>
  <c r="K73" i="3" s="1"/>
  <c r="L75" i="3"/>
  <c r="K75" i="3" s="1"/>
  <c r="L14" i="3"/>
  <c r="K14" i="3" s="1"/>
  <c r="L12" i="3"/>
  <c r="L20" i="3"/>
  <c r="K20" i="3" s="1"/>
  <c r="L24" i="3"/>
  <c r="K24" i="3" s="1"/>
  <c r="L32" i="3"/>
  <c r="K32" i="3" s="1"/>
  <c r="L38" i="3"/>
  <c r="K38" i="3" s="1"/>
  <c r="L54" i="3"/>
  <c r="K54" i="3" s="1"/>
  <c r="I12" i="3"/>
  <c r="I18" i="3"/>
  <c r="N18" i="3" s="1"/>
  <c r="I22" i="3"/>
  <c r="N22" i="3" s="1"/>
  <c r="I26" i="3"/>
  <c r="N26" i="3" s="1"/>
  <c r="I30" i="3"/>
  <c r="N30" i="3" s="1"/>
  <c r="I34" i="3"/>
  <c r="N34" i="3" s="1"/>
  <c r="I36" i="3"/>
  <c r="N36" i="3" s="1"/>
  <c r="I40" i="3"/>
  <c r="N40" i="3" s="1"/>
  <c r="I42" i="3"/>
  <c r="N42" i="3" s="1"/>
  <c r="I44" i="3"/>
  <c r="N44" i="3" s="1"/>
  <c r="I46" i="3"/>
  <c r="N46" i="3" s="1"/>
  <c r="I50" i="3"/>
  <c r="N50" i="3" s="1"/>
  <c r="I52" i="3"/>
  <c r="N52" i="3" s="1"/>
  <c r="I56" i="3"/>
  <c r="N56" i="3" s="1"/>
  <c r="K12" i="3" l="1"/>
  <c r="K99" i="3" s="1"/>
  <c r="L99" i="3"/>
  <c r="N12" i="3"/>
  <c r="I99" i="3"/>
  <c r="V29" i="1" l="1"/>
  <c r="W29" i="1"/>
  <c r="Y14" i="1"/>
  <c r="J14" i="8" l="1"/>
  <c r="G14" i="8"/>
  <c r="I14" i="8"/>
  <c r="K14" i="8" s="1"/>
  <c r="N14" i="8" l="1"/>
  <c r="L14" i="8"/>
  <c r="F16" i="1" l="1"/>
  <c r="X16" i="1"/>
  <c r="I13" i="1"/>
  <c r="H13" i="1"/>
  <c r="G13" i="1"/>
  <c r="F13" i="1"/>
  <c r="C7" i="3" l="1"/>
  <c r="C6" i="3"/>
  <c r="N96" i="6" l="1"/>
  <c r="L96" i="6"/>
  <c r="H96" i="6"/>
  <c r="I94" i="6"/>
  <c r="O94" i="6" s="1"/>
  <c r="G94" i="6"/>
  <c r="I93" i="6"/>
  <c r="O93" i="6" s="1"/>
  <c r="G93" i="6"/>
  <c r="I92" i="6"/>
  <c r="G92" i="6"/>
  <c r="I91" i="6"/>
  <c r="O91" i="6" s="1"/>
  <c r="G91" i="6"/>
  <c r="J90" i="6"/>
  <c r="I90" i="6" s="1"/>
  <c r="G90" i="6"/>
  <c r="J89" i="6"/>
  <c r="I89" i="6" s="1"/>
  <c r="G89" i="6"/>
  <c r="O88" i="6"/>
  <c r="J88" i="6"/>
  <c r="G88" i="6"/>
  <c r="M88" i="6" s="1"/>
  <c r="I87" i="6"/>
  <c r="G87" i="6"/>
  <c r="I86" i="6"/>
  <c r="G86" i="6"/>
  <c r="M86" i="6" s="1"/>
  <c r="I85" i="6"/>
  <c r="G85" i="6"/>
  <c r="I84" i="6"/>
  <c r="O84" i="6" s="1"/>
  <c r="G84" i="6"/>
  <c r="I83" i="6"/>
  <c r="O83" i="6" s="1"/>
  <c r="G83" i="6"/>
  <c r="I82" i="6"/>
  <c r="G82" i="6"/>
  <c r="I81" i="6"/>
  <c r="G81" i="6"/>
  <c r="I80" i="6"/>
  <c r="G80" i="6"/>
  <c r="I79" i="6"/>
  <c r="O79" i="6" s="1"/>
  <c r="G79" i="6"/>
  <c r="I78" i="6"/>
  <c r="G78" i="6"/>
  <c r="M78" i="6" s="1"/>
  <c r="I77" i="6"/>
  <c r="O77" i="6" s="1"/>
  <c r="G77" i="6"/>
  <c r="I76" i="6"/>
  <c r="O76" i="6" s="1"/>
  <c r="G76" i="6"/>
  <c r="I75" i="6"/>
  <c r="G75" i="6"/>
  <c r="M75" i="6" s="1"/>
  <c r="I74" i="6"/>
  <c r="G74" i="6"/>
  <c r="I73" i="6"/>
  <c r="G73" i="6"/>
  <c r="J72" i="6"/>
  <c r="I72" i="6" s="1"/>
  <c r="G72" i="6"/>
  <c r="I71" i="6"/>
  <c r="G71" i="6"/>
  <c r="J70" i="6"/>
  <c r="I70" i="6"/>
  <c r="O70" i="6" s="1"/>
  <c r="G70" i="6"/>
  <c r="J69" i="6"/>
  <c r="I69" i="6" s="1"/>
  <c r="G69" i="6"/>
  <c r="I68" i="6"/>
  <c r="O68" i="6" s="1"/>
  <c r="G68" i="6"/>
  <c r="J67" i="6"/>
  <c r="I67" i="6"/>
  <c r="O67" i="6" s="1"/>
  <c r="G67" i="6"/>
  <c r="M67" i="6" s="1"/>
  <c r="I66" i="6"/>
  <c r="G66" i="6"/>
  <c r="J65" i="6"/>
  <c r="I65" i="6" s="1"/>
  <c r="G65" i="6"/>
  <c r="J64" i="6"/>
  <c r="I64" i="6" s="1"/>
  <c r="O64" i="6" s="1"/>
  <c r="G64" i="6"/>
  <c r="J63" i="6"/>
  <c r="I63" i="6" s="1"/>
  <c r="G63" i="6"/>
  <c r="J62" i="6"/>
  <c r="I62" i="6"/>
  <c r="O62" i="6" s="1"/>
  <c r="G62" i="6"/>
  <c r="I61" i="6"/>
  <c r="G61" i="6"/>
  <c r="I60" i="6"/>
  <c r="O60" i="6" s="1"/>
  <c r="G60" i="6"/>
  <c r="M60" i="6" s="1"/>
  <c r="I59" i="6"/>
  <c r="O59" i="6" s="1"/>
  <c r="G59" i="6"/>
  <c r="I58" i="6"/>
  <c r="G58" i="6"/>
  <c r="J57" i="6"/>
  <c r="I57" i="6" s="1"/>
  <c r="G57" i="6"/>
  <c r="J56" i="6"/>
  <c r="I56" i="6" s="1"/>
  <c r="G56" i="6"/>
  <c r="I55" i="6"/>
  <c r="O55" i="6" s="1"/>
  <c r="G55" i="6"/>
  <c r="J54" i="6"/>
  <c r="I54" i="6"/>
  <c r="G54" i="6"/>
  <c r="J53" i="6"/>
  <c r="I53" i="6" s="1"/>
  <c r="G53" i="6"/>
  <c r="J52" i="6"/>
  <c r="I52" i="6" s="1"/>
  <c r="G52" i="6"/>
  <c r="J51" i="6"/>
  <c r="I51" i="6" s="1"/>
  <c r="G51" i="6"/>
  <c r="J50" i="6"/>
  <c r="I50" i="6" s="1"/>
  <c r="G50" i="6"/>
  <c r="J49" i="6"/>
  <c r="I49" i="6" s="1"/>
  <c r="G49" i="6"/>
  <c r="J48" i="6"/>
  <c r="I48" i="6" s="1"/>
  <c r="G48" i="6"/>
  <c r="I47" i="6"/>
  <c r="G47" i="6"/>
  <c r="J46" i="6"/>
  <c r="I46" i="6" s="1"/>
  <c r="G46" i="6"/>
  <c r="J45" i="6"/>
  <c r="I45" i="6"/>
  <c r="O45" i="6" s="1"/>
  <c r="G45" i="6"/>
  <c r="M45" i="6" s="1"/>
  <c r="J44" i="6"/>
  <c r="I44" i="6" s="1"/>
  <c r="G44" i="6"/>
  <c r="J43" i="6"/>
  <c r="I43" i="6"/>
  <c r="O43" i="6" s="1"/>
  <c r="G43" i="6"/>
  <c r="J42" i="6"/>
  <c r="I42" i="6" s="1"/>
  <c r="G42" i="6"/>
  <c r="J41" i="6"/>
  <c r="I41" i="6" s="1"/>
  <c r="O41" i="6" s="1"/>
  <c r="G41" i="6"/>
  <c r="J40" i="6"/>
  <c r="I40" i="6" s="1"/>
  <c r="G40" i="6"/>
  <c r="J39" i="6"/>
  <c r="I39" i="6" s="1"/>
  <c r="O39" i="6" s="1"/>
  <c r="G39" i="6"/>
  <c r="J38" i="6"/>
  <c r="I38" i="6" s="1"/>
  <c r="G38" i="6"/>
  <c r="J37" i="6"/>
  <c r="I37" i="6" s="1"/>
  <c r="O37" i="6" s="1"/>
  <c r="G37" i="6"/>
  <c r="J36" i="6"/>
  <c r="I36" i="6" s="1"/>
  <c r="G36" i="6"/>
  <c r="J35" i="6"/>
  <c r="I35" i="6" s="1"/>
  <c r="O35" i="6" s="1"/>
  <c r="G35" i="6"/>
  <c r="J34" i="6"/>
  <c r="I34" i="6" s="1"/>
  <c r="G34" i="6"/>
  <c r="I33" i="6"/>
  <c r="G33" i="6"/>
  <c r="J32" i="6"/>
  <c r="I32" i="6" s="1"/>
  <c r="G32" i="6"/>
  <c r="J31" i="6"/>
  <c r="I31" i="6" s="1"/>
  <c r="G31" i="6"/>
  <c r="I30" i="6"/>
  <c r="O30" i="6" s="1"/>
  <c r="G30" i="6"/>
  <c r="M30" i="6" s="1"/>
  <c r="J29" i="6"/>
  <c r="I29" i="6" s="1"/>
  <c r="G29" i="6"/>
  <c r="M29" i="6" s="1"/>
  <c r="J28" i="6"/>
  <c r="I28" i="6" s="1"/>
  <c r="G28" i="6"/>
  <c r="J27" i="6"/>
  <c r="I27" i="6" s="1"/>
  <c r="G27" i="6"/>
  <c r="J26" i="6"/>
  <c r="I26" i="6" s="1"/>
  <c r="G26" i="6"/>
  <c r="J25" i="6"/>
  <c r="I25" i="6" s="1"/>
  <c r="G25" i="6"/>
  <c r="J24" i="6"/>
  <c r="I24" i="6" s="1"/>
  <c r="G24" i="6"/>
  <c r="J23" i="6"/>
  <c r="I23" i="6" s="1"/>
  <c r="G23" i="6"/>
  <c r="M23" i="6" s="1"/>
  <c r="J22" i="6"/>
  <c r="I22" i="6" s="1"/>
  <c r="G22" i="6"/>
  <c r="J21" i="6"/>
  <c r="I21" i="6" s="1"/>
  <c r="G21" i="6"/>
  <c r="I20" i="6"/>
  <c r="O20" i="6" s="1"/>
  <c r="G20" i="6"/>
  <c r="J19" i="6"/>
  <c r="I19" i="6" s="1"/>
  <c r="G19" i="6"/>
  <c r="J18" i="6"/>
  <c r="I18" i="6"/>
  <c r="O18" i="6" s="1"/>
  <c r="G18" i="6"/>
  <c r="J17" i="6"/>
  <c r="I17" i="6" s="1"/>
  <c r="G17" i="6"/>
  <c r="J16" i="6"/>
  <c r="I16" i="6"/>
  <c r="O16" i="6" s="1"/>
  <c r="G16" i="6"/>
  <c r="J15" i="6"/>
  <c r="G15" i="6"/>
  <c r="M79" i="6" l="1"/>
  <c r="M61" i="6"/>
  <c r="Q71" i="6"/>
  <c r="M68" i="6"/>
  <c r="M18" i="6"/>
  <c r="M92" i="6"/>
  <c r="M82" i="6"/>
  <c r="M43" i="6"/>
  <c r="M48" i="6"/>
  <c r="M54" i="6"/>
  <c r="Q81" i="6"/>
  <c r="M87" i="6"/>
  <c r="M32" i="6"/>
  <c r="M55" i="6"/>
  <c r="Q60" i="6"/>
  <c r="M77" i="6"/>
  <c r="Q94" i="6"/>
  <c r="Q61" i="6"/>
  <c r="Q83" i="6"/>
  <c r="M94" i="6"/>
  <c r="M34" i="6"/>
  <c r="M51" i="6"/>
  <c r="M62" i="6"/>
  <c r="M84" i="6"/>
  <c r="Q58" i="6"/>
  <c r="Q80" i="6"/>
  <c r="O90" i="6"/>
  <c r="Q90" i="6"/>
  <c r="Q47" i="6"/>
  <c r="O81" i="6"/>
  <c r="Q87" i="6"/>
  <c r="Q33" i="6"/>
  <c r="M83" i="6"/>
  <c r="Q54" i="6"/>
  <c r="O87" i="6"/>
  <c r="O33" i="6"/>
  <c r="Q74" i="6"/>
  <c r="M80" i="6"/>
  <c r="M93" i="6"/>
  <c r="O80" i="6"/>
  <c r="Q93" i="6"/>
  <c r="O61" i="6"/>
  <c r="M90" i="6"/>
  <c r="M25" i="6"/>
  <c r="Q66" i="6"/>
  <c r="Q76" i="6"/>
  <c r="M81" i="6"/>
  <c r="O57" i="6"/>
  <c r="M57" i="6"/>
  <c r="O36" i="6"/>
  <c r="Q36" i="6"/>
  <c r="M36" i="6"/>
  <c r="Q73" i="6"/>
  <c r="G96" i="6"/>
  <c r="C8" i="6" s="1"/>
  <c r="Q30" i="6"/>
  <c r="M39" i="6"/>
  <c r="M58" i="6"/>
  <c r="Q92" i="6"/>
  <c r="J96" i="6"/>
  <c r="O54" i="6"/>
  <c r="Q88" i="6"/>
  <c r="M20" i="6"/>
  <c r="M31" i="6"/>
  <c r="M50" i="6"/>
  <c r="M66" i="6"/>
  <c r="O74" i="6"/>
  <c r="Q78" i="6"/>
  <c r="Q85" i="6"/>
  <c r="M89" i="6"/>
  <c r="M59" i="6"/>
  <c r="Q75" i="6"/>
  <c r="Q86" i="6"/>
  <c r="M16" i="6"/>
  <c r="M41" i="6"/>
  <c r="Q59" i="6"/>
  <c r="M70" i="6"/>
  <c r="O75" i="6"/>
  <c r="M33" i="6"/>
  <c r="M71" i="6"/>
  <c r="M76" i="6"/>
  <c r="Q79" i="6"/>
  <c r="Q82" i="6"/>
  <c r="O86" i="6"/>
  <c r="M37" i="6"/>
  <c r="M47" i="6"/>
  <c r="M53" i="6"/>
  <c r="Q67" i="6"/>
  <c r="M72" i="6"/>
  <c r="M64" i="6"/>
  <c r="M91" i="6"/>
  <c r="M35" i="6"/>
  <c r="Q84" i="6"/>
  <c r="Q17" i="6"/>
  <c r="O17" i="6"/>
  <c r="Q56" i="6"/>
  <c r="O56" i="6"/>
  <c r="O22" i="6"/>
  <c r="M22" i="6"/>
  <c r="Q22" i="6"/>
  <c r="Q63" i="6"/>
  <c r="O63" i="6"/>
  <c r="M63" i="6"/>
  <c r="Q42" i="6"/>
  <c r="O42" i="6"/>
  <c r="M42" i="6"/>
  <c r="Q72" i="6"/>
  <c r="O72" i="6"/>
  <c r="Q23" i="6"/>
  <c r="O23" i="6"/>
  <c r="Q34" i="6"/>
  <c r="O34" i="6"/>
  <c r="Q38" i="6"/>
  <c r="O38" i="6"/>
  <c r="M38" i="6"/>
  <c r="Q48" i="6"/>
  <c r="O48" i="6"/>
  <c r="M19" i="6"/>
  <c r="O24" i="6"/>
  <c r="M24" i="6"/>
  <c r="Q24" i="6"/>
  <c r="M49" i="6"/>
  <c r="M69" i="6"/>
  <c r="Q52" i="6"/>
  <c r="O52" i="6"/>
  <c r="Q65" i="6"/>
  <c r="O65" i="6"/>
  <c r="M65" i="6"/>
  <c r="Q44" i="6"/>
  <c r="O44" i="6"/>
  <c r="M44" i="6"/>
  <c r="Q31" i="6"/>
  <c r="O31" i="6"/>
  <c r="Q50" i="6"/>
  <c r="O50" i="6"/>
  <c r="Q40" i="6"/>
  <c r="O40" i="6"/>
  <c r="M40" i="6"/>
  <c r="Q46" i="6"/>
  <c r="O46" i="6"/>
  <c r="M46" i="6"/>
  <c r="Q28" i="6"/>
  <c r="O28" i="6"/>
  <c r="M28" i="6"/>
  <c r="Q53" i="6"/>
  <c r="O53" i="6"/>
  <c r="Q29" i="6"/>
  <c r="O29" i="6"/>
  <c r="Q19" i="6"/>
  <c r="O19" i="6"/>
  <c r="Q49" i="6"/>
  <c r="O49" i="6"/>
  <c r="Q69" i="6"/>
  <c r="O69" i="6"/>
  <c r="Q25" i="6"/>
  <c r="O25" i="6"/>
  <c r="Q89" i="6"/>
  <c r="O89" i="6"/>
  <c r="O26" i="6"/>
  <c r="M26" i="6"/>
  <c r="Q26" i="6"/>
  <c r="M21" i="6"/>
  <c r="M27" i="6"/>
  <c r="Q32" i="6"/>
  <c r="O32" i="6"/>
  <c r="Q51" i="6"/>
  <c r="O51" i="6"/>
  <c r="M17" i="6"/>
  <c r="Q21" i="6"/>
  <c r="O21" i="6"/>
  <c r="Q27" i="6"/>
  <c r="O27" i="6"/>
  <c r="M52" i="6"/>
  <c r="M56" i="6"/>
  <c r="Q16" i="6"/>
  <c r="Q18" i="6"/>
  <c r="O47" i="6"/>
  <c r="Q55" i="6"/>
  <c r="Q57" i="6"/>
  <c r="O66" i="6"/>
  <c r="Q68" i="6"/>
  <c r="Q70" i="6"/>
  <c r="Q77" i="6"/>
  <c r="O82" i="6"/>
  <c r="Q91" i="6"/>
  <c r="I15" i="6"/>
  <c r="M15" i="6" s="1"/>
  <c r="Q35" i="6"/>
  <c r="Q37" i="6"/>
  <c r="Q39" i="6"/>
  <c r="Q41" i="6"/>
  <c r="Q43" i="6"/>
  <c r="Q45" i="6"/>
  <c r="Q62" i="6"/>
  <c r="Q64" i="6"/>
  <c r="M73" i="6"/>
  <c r="M85" i="6"/>
  <c r="O73" i="6"/>
  <c r="O85" i="6"/>
  <c r="O58" i="6"/>
  <c r="O71" i="6"/>
  <c r="O78" i="6"/>
  <c r="O92" i="6"/>
  <c r="M74" i="6"/>
  <c r="I96" i="6" l="1"/>
  <c r="C9" i="6" s="1"/>
  <c r="Q15" i="6"/>
  <c r="O15" i="6"/>
  <c r="O96" i="6" s="1"/>
  <c r="M96" i="6"/>
  <c r="C8" i="7" l="1"/>
  <c r="C7" i="7"/>
  <c r="C6" i="7"/>
  <c r="T20" i="7"/>
  <c r="S20" i="7"/>
  <c r="P20" i="7"/>
  <c r="O20" i="7"/>
  <c r="N20" i="7"/>
  <c r="K20" i="7"/>
  <c r="J20" i="7"/>
  <c r="I20" i="7"/>
  <c r="H20" i="7"/>
  <c r="M19" i="7"/>
  <c r="M20" i="7" s="1"/>
  <c r="G19" i="7"/>
  <c r="U18" i="7"/>
  <c r="R18" i="7"/>
  <c r="L18" i="7"/>
  <c r="G18" i="7"/>
  <c r="Q18" i="7" s="1"/>
  <c r="Z17" i="7"/>
  <c r="U17" i="7"/>
  <c r="R17" i="7"/>
  <c r="Q17" i="7"/>
  <c r="L17" i="7"/>
  <c r="W17" i="7" s="1"/>
  <c r="X17" i="7" s="1"/>
  <c r="G17" i="7"/>
  <c r="Z16" i="7"/>
  <c r="R16" i="7"/>
  <c r="P16" i="7"/>
  <c r="U16" i="7" s="1"/>
  <c r="G16" i="7"/>
  <c r="U15" i="7"/>
  <c r="R15" i="7"/>
  <c r="L15" i="7"/>
  <c r="G15" i="7"/>
  <c r="U14" i="7"/>
  <c r="R14" i="7"/>
  <c r="L14" i="7"/>
  <c r="W14" i="7" s="1"/>
  <c r="X14" i="7" s="1"/>
  <c r="G14" i="7"/>
  <c r="W18" i="7" l="1"/>
  <c r="X18" i="7" s="1"/>
  <c r="R19" i="7"/>
  <c r="Q19" i="7" s="1"/>
  <c r="R20" i="7"/>
  <c r="G20" i="7"/>
  <c r="W15" i="7"/>
  <c r="X15" i="7" s="1"/>
  <c r="U20" i="7"/>
  <c r="Q14" i="7"/>
  <c r="L16" i="7"/>
  <c r="W19" i="7"/>
  <c r="X19" i="7" s="1"/>
  <c r="Q15" i="7"/>
  <c r="W16" i="7" l="1"/>
  <c r="X16" i="7" s="1"/>
  <c r="Q16" i="7"/>
  <c r="Q20" i="7" s="1"/>
  <c r="L20" i="7"/>
  <c r="W21" i="5" l="1"/>
  <c r="W22" i="5"/>
  <c r="W23" i="5"/>
  <c r="W24" i="5"/>
  <c r="W25" i="5"/>
  <c r="W26" i="5"/>
  <c r="W15" i="5"/>
  <c r="X15" i="5" s="1"/>
  <c r="Q15" i="5"/>
  <c r="O28" i="5"/>
  <c r="N28" i="5"/>
  <c r="M28" i="5"/>
  <c r="K28" i="5"/>
  <c r="J28" i="5"/>
  <c r="I28" i="5"/>
  <c r="H28" i="5"/>
  <c r="Q26" i="5"/>
  <c r="L26" i="5"/>
  <c r="G26" i="5"/>
  <c r="Q25" i="5"/>
  <c r="L25" i="5"/>
  <c r="G25" i="5"/>
  <c r="Q24" i="5"/>
  <c r="L24" i="5"/>
  <c r="G24" i="5"/>
  <c r="Q23" i="5"/>
  <c r="L23" i="5"/>
  <c r="G23" i="5"/>
  <c r="Q22" i="5"/>
  <c r="L22" i="5"/>
  <c r="G22" i="5"/>
  <c r="Q21" i="5"/>
  <c r="L21" i="5"/>
  <c r="G21" i="5"/>
  <c r="P20" i="5"/>
  <c r="Q20" i="5" s="1"/>
  <c r="G20" i="5"/>
  <c r="P19" i="5"/>
  <c r="Q19" i="5" s="1"/>
  <c r="G19" i="5"/>
  <c r="P18" i="5"/>
  <c r="Q18" i="5" s="1"/>
  <c r="G18" i="5"/>
  <c r="G28" i="5" s="1"/>
  <c r="Q17" i="5"/>
  <c r="P17" i="5"/>
  <c r="L17" i="5" s="1"/>
  <c r="W17" i="5" s="1"/>
  <c r="X17" i="5" s="1"/>
  <c r="G17" i="5"/>
  <c r="Q16" i="5"/>
  <c r="L16" i="5"/>
  <c r="W16" i="5" s="1"/>
  <c r="X16" i="5" s="1"/>
  <c r="G16" i="5"/>
  <c r="U15" i="5"/>
  <c r="U28" i="5" s="1"/>
  <c r="R15" i="5"/>
  <c r="R28" i="5" s="1"/>
  <c r="Q28" i="5" l="1"/>
  <c r="L18" i="5"/>
  <c r="W18" i="5" s="1"/>
  <c r="X18" i="5" s="1"/>
  <c r="L20" i="5"/>
  <c r="W20" i="5" s="1"/>
  <c r="X20" i="5" s="1"/>
  <c r="P28" i="5"/>
  <c r="L28" i="5"/>
  <c r="L19" i="5"/>
  <c r="W19" i="5" s="1"/>
  <c r="X19" i="5" s="1"/>
  <c r="X26" i="1" l="1"/>
  <c r="Y26" i="1"/>
  <c r="T27" i="1"/>
  <c r="Y27" i="1" s="1"/>
  <c r="C10" i="5" l="1"/>
  <c r="D21" i="1" l="1"/>
  <c r="J16" i="8" l="1"/>
  <c r="H16" i="8"/>
  <c r="I16" i="8"/>
  <c r="G16" i="8"/>
  <c r="K16" i="8" l="1"/>
  <c r="L16" i="8"/>
  <c r="D13" i="1" l="1"/>
  <c r="E13" i="1"/>
  <c r="X15" i="1" l="1"/>
  <c r="U15" i="1"/>
  <c r="T15" i="1"/>
  <c r="C9" i="7" l="1"/>
  <c r="E16" i="1" l="1"/>
  <c r="C9" i="5" l="1"/>
  <c r="E15" i="1" s="1"/>
  <c r="C8" i="3" l="1"/>
  <c r="C8" i="8" l="1"/>
  <c r="C9" i="8" s="1"/>
  <c r="U29" i="1" l="1"/>
  <c r="C11" i="5" l="1"/>
  <c r="C10" i="6" l="1"/>
  <c r="J13" i="1" l="1"/>
  <c r="K15" i="1"/>
  <c r="J22" i="1" l="1"/>
  <c r="S22" i="1" l="1"/>
  <c r="Y22" i="1"/>
  <c r="J26" i="1"/>
  <c r="D29" i="1"/>
  <c r="J21" i="1"/>
  <c r="Y21" i="1" l="1"/>
  <c r="S21" i="1"/>
  <c r="J17" i="1"/>
  <c r="Y17" i="1" s="1"/>
  <c r="S13" i="1" l="1"/>
  <c r="Y13" i="1" s="1"/>
  <c r="J24" i="1" l="1"/>
  <c r="Y24" i="1" s="1"/>
  <c r="Q29" i="1" l="1"/>
  <c r="H29" i="1" l="1"/>
  <c r="S32" i="1" s="1"/>
  <c r="E29" i="1" l="1"/>
  <c r="F29" i="1" l="1"/>
  <c r="I29" i="1"/>
  <c r="S33" i="1" s="1"/>
  <c r="G29" i="1"/>
  <c r="S31" i="1" s="1"/>
  <c r="J28" i="1"/>
  <c r="T28" i="1" s="1"/>
  <c r="J27" i="1"/>
  <c r="J25" i="1"/>
  <c r="J23" i="1"/>
  <c r="T23" i="1" s="1"/>
  <c r="T29" i="1" s="1"/>
  <c r="J20" i="1"/>
  <c r="Y20" i="1" s="1"/>
  <c r="J19" i="1"/>
  <c r="Y19" i="1" s="1"/>
  <c r="J16" i="1"/>
  <c r="J15" i="1"/>
  <c r="S15" i="1" s="1"/>
  <c r="Y15" i="1" s="1"/>
  <c r="J14" i="1"/>
  <c r="P29" i="1"/>
  <c r="S36" i="1" l="1"/>
  <c r="S16" i="1"/>
  <c r="Y16" i="1" s="1"/>
  <c r="Y25" i="1"/>
  <c r="S20" i="1"/>
  <c r="X23" i="1"/>
  <c r="X29" i="1" s="1"/>
  <c r="S23" i="1"/>
  <c r="S28" i="1"/>
  <c r="Y28" i="1" l="1"/>
  <c r="Y23" i="1"/>
  <c r="R29" i="1"/>
  <c r="M29" i="1"/>
  <c r="L29" i="1"/>
  <c r="K29" i="1"/>
  <c r="J18" i="1" l="1"/>
  <c r="Y18" i="1" l="1"/>
  <c r="Y29" i="1" s="1"/>
  <c r="S29" i="1"/>
  <c r="J29" i="1"/>
  <c r="O29" i="1" l="1"/>
  <c r="N29" i="1"/>
</calcChain>
</file>

<file path=xl/comments1.xml><?xml version="1.0" encoding="utf-8"?>
<comments xmlns="http://schemas.openxmlformats.org/spreadsheetml/2006/main">
  <authors>
    <author>Maricela Aranda Lopez</author>
  </authors>
  <commentList>
    <comment ref="J16" authorId="0" shapeId="0">
      <text>
        <r>
          <rPr>
            <b/>
            <sz val="9"/>
            <color indexed="81"/>
            <rFont val="Tahoma"/>
            <family val="2"/>
          </rPr>
          <t>Maricela Aranda Lopez:</t>
        </r>
        <r>
          <rPr>
            <sz val="9"/>
            <color indexed="81"/>
            <rFont val="Tahoma"/>
            <family val="2"/>
          </rPr>
          <t xml:space="preserve">
incluyen los cuartos adiciones  39309010.41
</t>
        </r>
      </text>
    </comment>
  </commentList>
</comments>
</file>

<file path=xl/sharedStrings.xml><?xml version="1.0" encoding="utf-8"?>
<sst xmlns="http://schemas.openxmlformats.org/spreadsheetml/2006/main" count="2033" uniqueCount="996">
  <si>
    <t>1501-1511</t>
  </si>
  <si>
    <t>1101-1321</t>
  </si>
  <si>
    <t>FF</t>
  </si>
  <si>
    <t>PRESUPUESTO</t>
  </si>
  <si>
    <t>APROBADO</t>
  </si>
  <si>
    <t>DEVENGADO</t>
  </si>
  <si>
    <t>OBRA PÚBLICA</t>
  </si>
  <si>
    <t>CUADRO RESUMEN</t>
  </si>
  <si>
    <t>DIRECTOR DE EGRESOS</t>
  </si>
  <si>
    <t>PROGRAMA</t>
  </si>
  <si>
    <t>PDM</t>
  </si>
  <si>
    <t>FONDO RESARCITORIO</t>
  </si>
  <si>
    <t>SALDO</t>
  </si>
  <si>
    <t xml:space="preserve"> Autorizado</t>
  </si>
  <si>
    <t>Devengado</t>
  </si>
  <si>
    <t>Saldo</t>
  </si>
  <si>
    <t>Depend. Ejecutora</t>
  </si>
  <si>
    <t>Fecha Autor.</t>
  </si>
  <si>
    <t>Oficio de autorización</t>
  </si>
  <si>
    <t>Programa</t>
  </si>
  <si>
    <t>Número de Obra</t>
  </si>
  <si>
    <t>Descripción de obra</t>
  </si>
  <si>
    <t>Total</t>
  </si>
  <si>
    <t>Municipal</t>
  </si>
  <si>
    <t>Modalidad  Ejecución</t>
  </si>
  <si>
    <t>Avance Financiero</t>
  </si>
  <si>
    <t>Avance Físico</t>
  </si>
  <si>
    <t>Metas                                                      U.M.         Cantidad</t>
  </si>
  <si>
    <t>Beneficiarios</t>
  </si>
  <si>
    <t>Modalidad Adjudicación</t>
  </si>
  <si>
    <t>Contratista</t>
  </si>
  <si>
    <t>No. De Contrato</t>
  </si>
  <si>
    <t>OBRA</t>
  </si>
  <si>
    <t>_______</t>
  </si>
  <si>
    <t>______</t>
  </si>
  <si>
    <t>3</t>
  </si>
  <si>
    <t>C</t>
  </si>
  <si>
    <t>T O T A L E S</t>
  </si>
  <si>
    <t>“Este Programa es público, ajeno a cualquier partido pólitico. Queda prohibido el uso para fines distintos a los establecidos en el programa”.</t>
  </si>
  <si>
    <t>PTTO. ASIGNADO</t>
  </si>
  <si>
    <t>ASIGNADO</t>
  </si>
  <si>
    <t>DM</t>
  </si>
  <si>
    <t xml:space="preserve">RETENCIONES </t>
  </si>
  <si>
    <t>TOTAL OBRA PÚBLICA</t>
  </si>
  <si>
    <t>LIC. MARICELA ARANDA LÓPEZ</t>
  </si>
  <si>
    <t>JEFA DEL DEPTO DE CTROL PPTAL DE LA OBRA PÚBLICA Y PROGRAMS FEDERALES</t>
  </si>
  <si>
    <t xml:space="preserve">PROGRAMAS FEDERALES </t>
  </si>
  <si>
    <t>OBRA POR ADMINSITRACIÓN</t>
  </si>
  <si>
    <t>FINIQUITOS</t>
  </si>
  <si>
    <t>IMAA</t>
  </si>
  <si>
    <t xml:space="preserve">SECRETARÍA DE FINANZAS PÚBLICAS                                                                                                                                                                                                                                </t>
  </si>
  <si>
    <t>TOTAL EJERCIDO</t>
  </si>
  <si>
    <t>PTTO. AUTORIZADO</t>
  </si>
  <si>
    <r>
      <rPr>
        <b/>
        <sz val="18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</si>
  <si>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>SERVICIOS PERSONALES (1000)</t>
  </si>
  <si>
    <t>MATERIALES Y SUMINISTRO (2000)</t>
  </si>
  <si>
    <t>SERVICIOS GENERALES (3000)</t>
  </si>
  <si>
    <t>OBRA POR CONTRATO          (6000)</t>
  </si>
  <si>
    <t>MATERIALES Y  (2000)</t>
  </si>
  <si>
    <t>BIENES MUEBLES (5000)</t>
  </si>
  <si>
    <t>DEUDA PÚBLICA        (9000)</t>
  </si>
  <si>
    <t>APOYOS              (4000)</t>
  </si>
  <si>
    <t>C.P. JOSE ALFREDO RAMIREZ PEREZ MALDONADO</t>
  </si>
  <si>
    <t>JEFA DEL DPTO. DE CONTROL PRESUPUESTAL DE LA OBRA PÚBLICA  Y PROGRAMAS FEDERALES</t>
  </si>
  <si>
    <t>PROGRAMAS SOCIALES</t>
  </si>
  <si>
    <t xml:space="preserve">OBRA PÚBLICA 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</si>
  <si>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PROGRAMA DIRECTO MUNICIPAL (PDM) 2019</t>
    </r>
  </si>
  <si>
    <t xml:space="preserve">FORTAMUN-DF </t>
  </si>
  <si>
    <t xml:space="preserve">FISM-DF </t>
  </si>
  <si>
    <t>PRODER</t>
  </si>
  <si>
    <t>FORTAFIN</t>
  </si>
  <si>
    <t>PRORE</t>
  </si>
  <si>
    <t xml:space="preserve">HABITAT </t>
  </si>
  <si>
    <t>3 X 1 PARA MIGRANTES</t>
  </si>
  <si>
    <r>
      <t>FORTASEG</t>
    </r>
    <r>
      <rPr>
        <b/>
        <sz val="18"/>
        <color theme="1"/>
        <rFont val="Futura Bk BT"/>
      </rPr>
      <t xml:space="preserve">  </t>
    </r>
  </si>
  <si>
    <r>
      <t>FORTASEG</t>
    </r>
    <r>
      <rPr>
        <b/>
        <sz val="18"/>
        <color theme="1"/>
        <rFont val="Futura Bk BT"/>
      </rPr>
      <t xml:space="preserve">  COPARTICIPACION</t>
    </r>
  </si>
  <si>
    <r>
      <rPr>
        <b/>
        <sz val="16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</si>
  <si>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>Núm. Obra</t>
  </si>
  <si>
    <t>Federal</t>
  </si>
  <si>
    <t>AD</t>
  </si>
  <si>
    <t xml:space="preserve">Estudios, Proyectos y Peritos./ Aguascalientes. </t>
  </si>
  <si>
    <t>VARIOS</t>
  </si>
  <si>
    <t>UR</t>
  </si>
  <si>
    <t>4</t>
  </si>
  <si>
    <t>Construcción de Sobrecarpeta Asfaltica, callle Emiliano Zapata, tramo: entre Calle Libertad y Calle Gorostiza. Centro Zona.</t>
  </si>
  <si>
    <t>M2</t>
  </si>
  <si>
    <t>2019-PDM-0005-UR-01-002</t>
  </si>
  <si>
    <t>5</t>
  </si>
  <si>
    <t>6</t>
  </si>
  <si>
    <t>Construcción de Sobrecarpeta Asfaltica, Av. Las Americas calzada Oriente, tramo: entre Av. Convención de 1914 y Calle Rupública de Chile Aguascalientes Mpio.</t>
  </si>
  <si>
    <t>8</t>
  </si>
  <si>
    <t>Construcción de Sobrecarpeta Asfaltica, Av. Constitución calzada Oriente, tramo: entre Calle Juan Bautista Lasalle  y Calle Pozo de Zafiro Aguascalientes Mpio.</t>
  </si>
  <si>
    <t>9</t>
  </si>
  <si>
    <t>Construcción de Sobrecarpeta Asfaltica, Av. Constitución calzada Oriente, tramo: entre Calle Pozo de Zafiro  y Av. Pozo Bravo Aguascalientes Mpio.</t>
  </si>
  <si>
    <t>2019-PDM-0010-UR-01-007</t>
  </si>
  <si>
    <t>10</t>
  </si>
  <si>
    <t>Construcción de Sobrecarpeta Asfaltica, Av. Constitución calzada Oriente, tramo: entre Av. Pozo Bravo  y Calle Artículo 35 Aguascalientes Mpio.</t>
  </si>
  <si>
    <t>2019-PDM-0011-UR-01-008</t>
  </si>
  <si>
    <t>11</t>
  </si>
  <si>
    <t>Construcción de Sobrecarpeta Asfaltica, Av. Constitución calzada Oriente, tramo: entre Calle Artículo 35  y Acceso a Condominio San José Aguascalientes Mpio.</t>
  </si>
  <si>
    <t>12</t>
  </si>
  <si>
    <t>Construcción de Sobrecarpeta Asfaltica, Av. Las Américas Calzada Poniente, tramo: Av. Conveción de 1914  y Calle República de Chile Aguascalientes Mpio.</t>
  </si>
  <si>
    <t>13</t>
  </si>
  <si>
    <t>Construcción de Sobrecarpeta Asfaltica, Av. Héroe de Nacozari sur Calzada Poniente tramo: entre acceso hehicular INEGI  y Calle Montealbán Aguascalientes Mpio.</t>
  </si>
  <si>
    <t>16</t>
  </si>
  <si>
    <t>Construcción de Sobrecarpeta Asfaltica, Av. Héroe de Nacozari sur Calzada Poniente tramo: entre Av. Aguascalientes  y Acceso Vehicular INEGI Aguascalientes Mpio.</t>
  </si>
  <si>
    <t>17</t>
  </si>
  <si>
    <t>Construcción de Sobrecarpeta Asfaltica, Av. De la Conveción de 1914 Oriente,Calzada Oriente tramo: entre Calle Obrero Mundial  y Puente de Av. Gabriela Mistral Aguascalientes Mpio.</t>
  </si>
  <si>
    <t>2019-PDM-0018-DM-05-002</t>
  </si>
  <si>
    <t>18</t>
  </si>
  <si>
    <t>Casa del Adulto Mayor Calle Olivos, esq. Calle Antonio Nava Castillo, Jesus Teran Peredo Fracc.</t>
  </si>
  <si>
    <t>19</t>
  </si>
  <si>
    <t>Parque Valle de lo Cactus Calle paseo de la biznaga y Calle Juventino de la Torre Torres. Valle de los Cactus Fracc.</t>
  </si>
  <si>
    <t>20</t>
  </si>
  <si>
    <t>Reposición de Banquetas Varios puntos de la Ciudad de la Ciudad, Aguascalientes Mpio.</t>
  </si>
  <si>
    <t>21</t>
  </si>
  <si>
    <t>Rehabilitación de Camellon Central Av. Proceres de la enseñanza. Tramo entre Salida a  S.L.P. y Calle Antonia López de Chavez, J. Guadalupe Peralta Gamez Fracc.</t>
  </si>
  <si>
    <t>22</t>
  </si>
  <si>
    <t>Construcción de Sobrecarpeta Asfaltica, Av. De la Conveción de 1914 Oriente,Calzada Poniente tramo: entre Calle Circuito del Mosto y  Calle Nazario Ortiz Garza Aguascalientes Mpio.</t>
  </si>
  <si>
    <t>2019-PDM-0023-DM-05-003</t>
  </si>
  <si>
    <t>23</t>
  </si>
  <si>
    <t>Centro de Atención Municipal CAM, Oficinas Administrativas lado Poniente Av. Adolfo Lópeez Mateos  S/N Obraje Col.</t>
  </si>
  <si>
    <t>ID</t>
  </si>
  <si>
    <t>25</t>
  </si>
  <si>
    <t>Construcción de cubierta tipo "B", Cancha de usos Multiples Av. Héroe de Nacozari Sur Esq. Calle Casa Blanca Av. Héroe de Nacozari sur, Esq. Calle Casa Blanca, Mexico Fracc.</t>
  </si>
  <si>
    <t>2019-PDM-0027-UR-01-017</t>
  </si>
  <si>
    <t>27</t>
  </si>
  <si>
    <t>Construcción de Sobrecarpeta Asfaltica, Blv. A Zacatecas, Calzada Oriente Tramo: Entre Av. Aguascalientes y Entrada de Servicios de MEGA, Aguascalintes, Mpio.</t>
  </si>
  <si>
    <t>SSP</t>
  </si>
  <si>
    <t>28</t>
  </si>
  <si>
    <t>Mantenimiento y Mejoramiento de Areas Verdes en el Municipio de Aguascalientes./ Varios Puntos de la Ciudad</t>
  </si>
  <si>
    <t>2019-PDM-0029-UR-01-018</t>
  </si>
  <si>
    <t>29</t>
  </si>
  <si>
    <t>Construcción de Sobrecarpeta Asfaltica Blv. A Zacatecas, Calzada Oriente Tramo: Entre Entrada a Servicios de Mega y Entrada a Cementera Cruz Azul, Aguascalientes, Mpio.</t>
  </si>
  <si>
    <t>2019-PDM-0030-DM-05-004</t>
  </si>
  <si>
    <t>30</t>
  </si>
  <si>
    <t>Centro de Atención Municipal CAM, Instalaciones Generales  Av. Adolfo Lópeez Mateos  S/N Obraje Col.</t>
  </si>
  <si>
    <t>2019-PDM-0033-UR-01-020</t>
  </si>
  <si>
    <t>33</t>
  </si>
  <si>
    <t>Construccioón de Pavimento Hidraulico, Calle Autlán, Tramo: Entre Calle Tenacatita y Atenquique, La Soledad Fracc.</t>
  </si>
  <si>
    <t>2018/2019-PDM-0068-002-ID-01-004</t>
  </si>
  <si>
    <t>68</t>
  </si>
  <si>
    <t>Construcción de Skatorama, Parque Loma Bonita./ Loma Bonita Fracc.</t>
  </si>
  <si>
    <t>INV. REST. ESTATAL</t>
  </si>
  <si>
    <t>CONTROL DE OBRA Y CONSTRUCCIONES DE AGUASCALIENTES, S.A. DE C.V.</t>
  </si>
  <si>
    <t>DM-0068-2018</t>
  </si>
  <si>
    <t>S5</t>
  </si>
  <si>
    <t>130</t>
  </si>
  <si>
    <t>Construcción de la Etapa 6 - A del Relleno Sanitario San Nicolás./ Kilómetro 9.3 Carretera a San Nicolás- José María Morelos</t>
  </si>
  <si>
    <t>DIRECTA ESTATAL</t>
  </si>
  <si>
    <t>FEDGAR CONSTRUCCIONES Y SERVICIOS S.A. DE C.V.</t>
  </si>
  <si>
    <t>DM-0130-2018</t>
  </si>
  <si>
    <t>2018/2019-PDM-0142-003-UR-04-052</t>
  </si>
  <si>
    <t>142</t>
  </si>
  <si>
    <t>Convivencia Ferroviaria Etapa II (Meta 01),  Construcción de Pavimento, Guarniciónes y Banquetas./ Av. Manuel Gómez Morín Cruce Calle Ezequiel A. Chávez Sur, Aguascalientes Mpio.</t>
  </si>
  <si>
    <t>143</t>
  </si>
  <si>
    <t>Convivencia Ferroviaria Etapa II (Meta 02),  Señalización y Alumbrado Ornamental./ Av. Manuel Gómez Morín Cruce Ezequiel A. Chávez Sur, Aguascalientes Mpio.</t>
  </si>
  <si>
    <t>2018/2019-PDM-0177-002-UR-03-056</t>
  </si>
  <si>
    <t>177</t>
  </si>
  <si>
    <t>Convivencia Ferroviaria Etapa II (Meta03), Banquetas, Rampas y Andadores./ Tramo de Av. López Mateos a Ezequiel A. Chávez, Aguascalientes. Mpio.</t>
  </si>
  <si>
    <t>2018/2019-PDM-0194-002-DM-05-018</t>
  </si>
  <si>
    <t>194</t>
  </si>
  <si>
    <t>Construcción de Barda Perimetral en Pensión Municipal./ Prol. Av. Héroe Inmortal S/N. Pensión Municipal, Aguascalientes Mpio.</t>
  </si>
  <si>
    <t>209</t>
  </si>
  <si>
    <t>Rehabilitación de Alberca V.N.S.A. 1A Etapa./ Av. Poliducto S/N, Villa de Nuestra Señora de la Asunción.</t>
  </si>
  <si>
    <t>MIGUEL DE JESUS RODRIGUEZ LEAL GUZMAN</t>
  </si>
  <si>
    <t>DM-0209-2018</t>
  </si>
  <si>
    <t>2018/2019-PDM-0244-002-UR-04-060</t>
  </si>
  <si>
    <t>244</t>
  </si>
  <si>
    <t>Parque Urbano (Baños). C. El Zarco S/N, Municipio  Libre Fracc.</t>
  </si>
  <si>
    <t>L.V. CONSTRUCCION, S.A. DE C.V.</t>
  </si>
  <si>
    <t>DM-0244-2018/2019</t>
  </si>
  <si>
    <t>2018/2019-PDM-0245-002-UR-04-061</t>
  </si>
  <si>
    <t>245</t>
  </si>
  <si>
    <t>Regeneración de Glorieta Benito Juarez, Etapa 2, Av. Las Américas, Av. Ayuntamiento y Av. F. lizondo, Las Fuentes</t>
  </si>
  <si>
    <t>DM-0245-2018/2019</t>
  </si>
  <si>
    <t>2018/2019-PDM-0246-002-UR-04-062</t>
  </si>
  <si>
    <t>246</t>
  </si>
  <si>
    <t>247</t>
  </si>
  <si>
    <t>Construcción y Rehabilitación Parque Constitución (Muros de Contención Lateral Norte) A. Constitución, Esq. Artículo 39, Constitución Facc.</t>
  </si>
  <si>
    <t>JOSMAR CONSTRUCCIONES, S.A. DE C.V.</t>
  </si>
  <si>
    <t>DM-0247-2018/2019</t>
  </si>
  <si>
    <t>250</t>
  </si>
  <si>
    <t>Rehabilitación de módulos de policia, Destacamiento Terán Sur, Aguascalientes Mpio.</t>
  </si>
  <si>
    <t>MODULOS</t>
  </si>
  <si>
    <t>251</t>
  </si>
  <si>
    <t>Rehabilitación de módulos de policia, Destacamiento Morelos e Insurgentes, Aguascalientes Mpio.</t>
  </si>
  <si>
    <t>J. JESUS BERNAL MARTINEZ</t>
  </si>
  <si>
    <t>DM-0251-2018/2019</t>
  </si>
  <si>
    <t>252</t>
  </si>
  <si>
    <t>Rehabilitación de módulos de policia, Destacamiento Morelos, Aguascalientes Mpio.</t>
  </si>
  <si>
    <t>FRADAG CONSTRUCCIONES, S.A. DE C.V.</t>
  </si>
  <si>
    <t>DM-0252-2018/2019</t>
  </si>
  <si>
    <t>2018/2019-PDM-0253-002-ID-01-014</t>
  </si>
  <si>
    <t>253</t>
  </si>
  <si>
    <t>Construcción de cubierta tipo "B", Parque Ojocaliente I, Av. Aguascalientes, Esq. Calle Cotorinas, Ojocaliente Fracc. 1 secc.</t>
  </si>
  <si>
    <t>CONSORCIO INDUSTRIAL INTERNACIONAL AIRE, S.A. DE C.V.</t>
  </si>
  <si>
    <t>DM-0253-2018/2019</t>
  </si>
  <si>
    <t>254</t>
  </si>
  <si>
    <t>Remodelación y adecuación, Delegación Constitución, calle Artículo 21 y Av. Constitución Fracc.</t>
  </si>
  <si>
    <t>255</t>
  </si>
  <si>
    <t>Remodelación y adecuación, Delegación Guadalupe Peralta, Calle Desiderio Macias Silva, J. Guadalupe Peralta Gamez Fracc.</t>
  </si>
  <si>
    <t>CONESTRUCTURA, S.A. DE C.V.</t>
  </si>
  <si>
    <t>DM-0255-2018/2018</t>
  </si>
  <si>
    <t>256</t>
  </si>
  <si>
    <t>Rehabilitación de cubierta en cancha de usos mútiples, Fidel Velazquez</t>
  </si>
  <si>
    <t>ECCAR ESTRUCTURA METALICA, S.A. DE C.V.</t>
  </si>
  <si>
    <t>DM-0256-2018/2019</t>
  </si>
  <si>
    <t>257</t>
  </si>
  <si>
    <t>Remodelación y Adecuación, Delegación Lomas del Ajedrez, Av. Poliducto y Av. Mariano Hidalgo, Lomas del Ajedrez Fracc.</t>
  </si>
  <si>
    <t>258</t>
  </si>
  <si>
    <t>Remodelación y Adecuación, Delegación Villas de Nuestra Señora de la Asunción, Calle Ermita de San Sebastian, Villa de Nuestra Señora de la Asunción, Sector Guadalupe, Fracc 1a. Secc. Lomas del Ajedrez, Av. Poliducto y Av. Mariano Hidalgo, Lomas del Ajedrez Fracc.</t>
  </si>
  <si>
    <t>2018/2019-PDM-0259-002-DM-05-042</t>
  </si>
  <si>
    <t>259</t>
  </si>
  <si>
    <t>Rehabilitación de Techumbre Centro de atencion Municipal  C.A.M. AV.Adolfo Lopez Mateos, Obraje Col.</t>
  </si>
  <si>
    <t>DM-0259-2018/2019</t>
  </si>
  <si>
    <t>2018/2019-PDM-0260-002-DM-05-043</t>
  </si>
  <si>
    <t>260</t>
  </si>
  <si>
    <t>Rehabilitacion de Locales Comerciales, Centro de Atencion Municipal C.A.M. AV. Adolfo Lopez Mateos.</t>
  </si>
  <si>
    <t>CBG CONSTRUCCIONES, S.A. DE C.V.</t>
  </si>
  <si>
    <t>DM-0260-2018/2019</t>
  </si>
  <si>
    <t>2018/2019-PDM-0261-002-DM-05-044</t>
  </si>
  <si>
    <t>261</t>
  </si>
  <si>
    <t>Rehabilitacion de Fachadas, Centro de Atencion Municipal C.A.M. AV. Adolfo Lopez Mateos. Obraje Col.</t>
  </si>
  <si>
    <t>DM-0261-2018/2019</t>
  </si>
  <si>
    <t>2018/2019-PDM-0262-002-DM-05-045</t>
  </si>
  <si>
    <t>262</t>
  </si>
  <si>
    <t>Construccion de Servicios Sanitarios: Centro de Atencion Municipal C.A.M. AV. Adolfo Lopez Mateos, Obraje Col.</t>
  </si>
  <si>
    <t>HORACIO DE LIRA IBARRA</t>
  </si>
  <si>
    <t>DM-0262-2018/2019</t>
  </si>
  <si>
    <t>SOPMA</t>
  </si>
  <si>
    <t>FOREMOBA 2019 Federal</t>
  </si>
  <si>
    <t>32</t>
  </si>
  <si>
    <t>Construccioón de Pavimento Hidraulico, Calle Emiliano Zapata Los Caños</t>
  </si>
  <si>
    <t>7</t>
  </si>
  <si>
    <t>Construcción de Sobrecarpeta Asfaltica, Av. Constitución Calzada Oriente Tramo entre Av. Aguascalientes Juan Bautista</t>
  </si>
  <si>
    <t>2019-PDM-0026-ID-01-003</t>
  </si>
  <si>
    <t>26</t>
  </si>
  <si>
    <t>Construcción de cubierta tipo "B" Av. Convención de 1914 Ote. Y C.Felipe Carrillo Puerto</t>
  </si>
  <si>
    <t>35</t>
  </si>
  <si>
    <t>Programa de Barrio Magicos Fachada C. Princesita Barrio La Salud</t>
  </si>
  <si>
    <t>2019-PDM-0036-DM-06-05</t>
  </si>
  <si>
    <t>36</t>
  </si>
  <si>
    <t>Programa de Barrio Magicos Fachada C. Delicias Barrio La Salud</t>
  </si>
  <si>
    <t>2019-PDM-0037-DM-06-06</t>
  </si>
  <si>
    <t>37</t>
  </si>
  <si>
    <t>Programa de Barrio Magicos Fachada C. San Atanacio Barrio La Salud</t>
  </si>
  <si>
    <t>2019-PDM-0031-UR-04-019</t>
  </si>
  <si>
    <t>31</t>
  </si>
  <si>
    <t>Construcción de Parque Urbano (Fuente, Obra Civil y Equipamiento)</t>
  </si>
  <si>
    <t>24</t>
  </si>
  <si>
    <t>Construcción de cubierta tipo "B", Cancha de usos Multiples Parque Villa Teresa</t>
  </si>
  <si>
    <t>VERTIENTES DE ESPACIOS PÚBLICOS</t>
  </si>
  <si>
    <r>
      <t xml:space="preserve">DEPARTAMENTO DE CONTROL PRESUPUESTAL DE LA OBRA PÚBLICA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</t>
    </r>
  </si>
  <si>
    <t>FONDO DE APORTACIONES PARA EL FORTALECIMIENTO DE LOS MUNICIPIOS Y DEMARCACIONES TERRITORIALES DEL DISTRITO FEDERAL</t>
  </si>
  <si>
    <t>PTTO ASIGNADO</t>
  </si>
  <si>
    <t>PPTO AUTORIZADO</t>
  </si>
  <si>
    <t>Dep Ejec</t>
  </si>
  <si>
    <t>Pago de Sueldos y Pensiones de Seguridad Pública</t>
  </si>
  <si>
    <t>_</t>
  </si>
  <si>
    <t>Lote</t>
  </si>
  <si>
    <t>2019-FORTAMUNDF-0001-DM-06-001</t>
  </si>
  <si>
    <t>(FORTAMUNDF) 2019</t>
  </si>
  <si>
    <t>GRUPO REALIZA, S.A. DE C.V.</t>
  </si>
  <si>
    <t>DM-004-2019</t>
  </si>
  <si>
    <t>MAQUINARIA Y CONSTRUCCIONES CAFA, S.A. DE C.V.</t>
  </si>
  <si>
    <t>DM-006-2019</t>
  </si>
  <si>
    <t>MAGS CONSTRUCCIONES, S.A. DE C.V.</t>
  </si>
  <si>
    <t>DM-007-2019</t>
  </si>
  <si>
    <t>CONSTRUCTORA FLORES HERMANOS, S.A. DE C.V.</t>
  </si>
  <si>
    <t>DM-008-2019</t>
  </si>
  <si>
    <t>VELASER, S.A. DE C.V.</t>
  </si>
  <si>
    <t>DM-009-2019</t>
  </si>
  <si>
    <t>DM-0012-2019</t>
  </si>
  <si>
    <t>DM-0013-2019</t>
  </si>
  <si>
    <t>DM-0016--2019</t>
  </si>
  <si>
    <t>CONSTRUCTORA LASCAMAS, S.A. DE C.V.</t>
  </si>
  <si>
    <t>DM-0017-2019</t>
  </si>
  <si>
    <t>LUVI, S.A. DE C.V.</t>
  </si>
  <si>
    <t>DM-0019-2019</t>
  </si>
  <si>
    <t>LM4 POZOS Y CONSTRUCCION, S.A. DE C.V.</t>
  </si>
  <si>
    <t>DM-0020-2019</t>
  </si>
  <si>
    <t>ARVAVALENCIA, S.A. DE C.V.</t>
  </si>
  <si>
    <t>DM-0021-2019</t>
  </si>
  <si>
    <t>TRITURADOS Y ASFALTOS TRIANA, S.A. DE C.V.</t>
  </si>
  <si>
    <t>DM-0022-2019</t>
  </si>
  <si>
    <t>DIES ARQUITECTURA Y CONSTRUCCIONES, S.A. DE C.V.</t>
  </si>
  <si>
    <t>DM-0027-2019</t>
  </si>
  <si>
    <t>JAIME VALDIVIA CONSTRUCCIONES, S.A. DE C.V.</t>
  </si>
  <si>
    <t>DM-0029-2019</t>
  </si>
  <si>
    <t>2019-PDM-0032-UR-01-019</t>
  </si>
  <si>
    <t>ENCO SERVICIOS S.A. DE C.V.</t>
  </si>
  <si>
    <t>DM-0033-2019</t>
  </si>
  <si>
    <t>EA</t>
  </si>
  <si>
    <t>38</t>
  </si>
  <si>
    <t>Instalación de Infraestructura para Alumbrado Público Av. Guadalupe Gonzalez, Esq. Av. Eugenio Garza Sada, Aguascalientes Mpio.</t>
  </si>
  <si>
    <t>40</t>
  </si>
  <si>
    <t>Apoyos Comunitarios, Todo el Municipio de Aguascalientes.</t>
  </si>
  <si>
    <t>41</t>
  </si>
  <si>
    <t>Mantenimiento y Adecuación de Infraestructura Municipal. Todo el Municipio de Aguascalientes.</t>
  </si>
  <si>
    <t>42</t>
  </si>
  <si>
    <t>Atención Ciudadana y Miercoles Ciudadano. Todo el Municipio de Aguascalientes.</t>
  </si>
  <si>
    <t>43</t>
  </si>
  <si>
    <t>Revive y Pintura en Fachadas. Todo el Municipio de Aguascalientes.</t>
  </si>
  <si>
    <t>44</t>
  </si>
  <si>
    <t>Tiraderos de Escombro.</t>
  </si>
  <si>
    <t>IE</t>
  </si>
  <si>
    <t>45</t>
  </si>
  <si>
    <t>Rehabilitación y Mantenimiento de Espacios Educativos. Todo el Municipio de Aguascalientes.</t>
  </si>
  <si>
    <t>46</t>
  </si>
  <si>
    <t>Rehabilitación y Mantenimiento de Vialidades. Todo el Municipio de Aguascalientes.</t>
  </si>
  <si>
    <t>47</t>
  </si>
  <si>
    <t>Pintura en Vialidades, Nomenclaturas y Dignificación de Pasos a Desnivel. Todo el Municipio de Aguascalientes.</t>
  </si>
  <si>
    <t>48</t>
  </si>
  <si>
    <t>Movimiento de Tierras, Obras Complementarias y Limpieza de Cauces. Todo el Municipio de Aguascalientes.</t>
  </si>
  <si>
    <t>2019-PDM-0055-UR-01-030</t>
  </si>
  <si>
    <t>55</t>
  </si>
  <si>
    <t>Pavimento Hidráulico, Calle Inés Mariscal. Entre calle Luis Donaldo Colosio Murrieta y Calle Efraín Barrientos(arroyo) Los Negritos Com.</t>
  </si>
  <si>
    <t>2019-PDM-0056-UR-04-031</t>
  </si>
  <si>
    <t>56</t>
  </si>
  <si>
    <t xml:space="preserve">Construcción de Parque Urbano (Muros de Contención, Instalación Eléctrica, Media Tención y Alimentadores) Calle el Zarco, Municipio Libre Fracc. </t>
  </si>
  <si>
    <t>2019-PDM-0057-UR-04-033</t>
  </si>
  <si>
    <t>57</t>
  </si>
  <si>
    <t xml:space="preserve">Construcción de Parque Urbano (Cuarto de Máquinas e Instalaciones) Calle el Zarco, Municipio Libre Fracc. </t>
  </si>
  <si>
    <t>60</t>
  </si>
  <si>
    <t>Alumbrado en Canchas Av. Carolina Villanueva de Garcia. Ciudad Industrial Fracc.</t>
  </si>
  <si>
    <t>LUMINARIA</t>
  </si>
  <si>
    <t>SERVICIOS EN CONCRETO MAZA, S.A. DE C.V.</t>
  </si>
  <si>
    <t>DM-0142-2018</t>
  </si>
  <si>
    <t>DM-0194-2018</t>
  </si>
  <si>
    <t>DM-0250-2018/2019</t>
  </si>
  <si>
    <t>DM-0254-2018/2019</t>
  </si>
  <si>
    <t>GUBBIO DISEÑO, S.A. DE C.V.</t>
  </si>
  <si>
    <t>DM-0258-2018/2019</t>
  </si>
  <si>
    <t xml:space="preserve">Metas                                                      U.M.         </t>
  </si>
  <si>
    <t>Cantidad</t>
  </si>
  <si>
    <t>No. de Contrato</t>
  </si>
  <si>
    <t>FORTASEG</t>
  </si>
  <si>
    <t>AM</t>
  </si>
  <si>
    <t>SDS</t>
  </si>
  <si>
    <t>Tejiendo Esperanzas con el Corazón (Estambre</t>
  </si>
  <si>
    <t>Paquete</t>
  </si>
  <si>
    <t>Convivamos Juntos</t>
  </si>
  <si>
    <t>Cimentando el Futuro con el Corazón</t>
  </si>
  <si>
    <t>Juntos Nutrimos con el Corazón</t>
  </si>
  <si>
    <t>CAPITULO 1000 DE SEGURIDAD PÚBLICA</t>
  </si>
  <si>
    <r>
      <rPr>
        <b/>
        <sz val="16"/>
        <color theme="0"/>
        <rFont val="Calibri"/>
        <family val="2"/>
      </rPr>
      <t xml:space="preserve">SECRETARIA DE FINANZAS PUBLICAS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</si>
  <si>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 xml:space="preserve">FONDO PARA LA INFRAESTRUCTURA SOCIAL MUNICIPAL Y DE LAS DEMARCACIONES TERRITORIALES DEL DISTRITO FEDERAL </t>
  </si>
  <si>
    <t>RAMO 33 (FISMDF-2019)</t>
  </si>
  <si>
    <t>PTTO. APROBADO</t>
  </si>
  <si>
    <t>Anticipos</t>
  </si>
  <si>
    <t xml:space="preserve">Total </t>
  </si>
  <si>
    <t>Federal 2019</t>
  </si>
  <si>
    <t xml:space="preserve"> Pendientes de Devengar 2018</t>
  </si>
  <si>
    <t>Av. Financiero</t>
  </si>
  <si>
    <t>Av. Físico</t>
  </si>
  <si>
    <t>Modelo de Adjudicación</t>
  </si>
  <si>
    <t>CCAPAMA</t>
  </si>
  <si>
    <t>071</t>
  </si>
  <si>
    <t>CONTRATO</t>
  </si>
  <si>
    <t>ML</t>
  </si>
  <si>
    <t>563</t>
  </si>
  <si>
    <t>072</t>
  </si>
  <si>
    <t>544</t>
  </si>
  <si>
    <t>073</t>
  </si>
  <si>
    <t>648</t>
  </si>
  <si>
    <t>074</t>
  </si>
  <si>
    <t>491</t>
  </si>
  <si>
    <t>075</t>
  </si>
  <si>
    <t>455</t>
  </si>
  <si>
    <t>077</t>
  </si>
  <si>
    <t>369</t>
  </si>
  <si>
    <t>2019-FISMDF-0078-02062-012</t>
  </si>
  <si>
    <t>078</t>
  </si>
  <si>
    <t>Rehabilitacio de la Red de Alcantarillado Sanitario en la C. Belisario Dominguez entre Abraham Gonzalez y Av. Convencion Fracc. Insurgentes</t>
  </si>
  <si>
    <t>110</t>
  </si>
  <si>
    <t>079</t>
  </si>
  <si>
    <t>2019-FISMDF-0081-0411101-001</t>
  </si>
  <si>
    <t>081</t>
  </si>
  <si>
    <t>Construcción de Red de Pavimento Hidraulico C.San Patricio Tramo entre C. San Cosme y C. San Lucas Fracc. Los Pericos</t>
  </si>
  <si>
    <t>400</t>
  </si>
  <si>
    <t>082</t>
  </si>
  <si>
    <t>600</t>
  </si>
  <si>
    <t>083</t>
  </si>
  <si>
    <t>084</t>
  </si>
  <si>
    <t>086</t>
  </si>
  <si>
    <t>1600</t>
  </si>
  <si>
    <t>090</t>
  </si>
  <si>
    <t>100</t>
  </si>
  <si>
    <t>2019-FISMDF-0091-0411101-017</t>
  </si>
  <si>
    <t>091</t>
  </si>
  <si>
    <t>Construcción de Pavimento Hidraulico C. San Bernardo Tramo entre C. San Cosme y C. San Lucas Fracc. Los Pericos</t>
  </si>
  <si>
    <t>SEDESOM</t>
  </si>
  <si>
    <t>2019-FISMDF-0093-08302-019</t>
  </si>
  <si>
    <t>093</t>
  </si>
  <si>
    <t>Mi Hogar Corazón de Aguascalientes (Calentador Solar Fondo III) Todo el Municipio Aguascalientes</t>
  </si>
  <si>
    <t>PAQUETE</t>
  </si>
  <si>
    <t>1937</t>
  </si>
  <si>
    <t>085</t>
  </si>
  <si>
    <t>SERVICIO</t>
  </si>
  <si>
    <t>877190</t>
  </si>
  <si>
    <t>092</t>
  </si>
  <si>
    <t>PROYECTO</t>
  </si>
  <si>
    <t>5000</t>
  </si>
  <si>
    <t>TRANSPORTE MAQUINARIA Y CONSTRUCCIONES, S.A. DE C.V.</t>
  </si>
  <si>
    <t>DM-0010-2019</t>
  </si>
  <si>
    <t>DM-011-2019</t>
  </si>
  <si>
    <t>CONSTRUCTORA KANI, S.A. DE C.V.</t>
  </si>
  <si>
    <t>DM-0018-2019</t>
  </si>
  <si>
    <t>GRUPO CONSTRUCTOR KAFRAGS, S.A. DE C.V.</t>
  </si>
  <si>
    <t>DM-0023-2019</t>
  </si>
  <si>
    <t>CERICA CONSTRUCCIONES, S.A. DE C.V.</t>
  </si>
  <si>
    <t>DM-0024-2019</t>
  </si>
  <si>
    <t>EDGAR ALBERTO GOMEZ CANTU</t>
  </si>
  <si>
    <t>DM-025-2019</t>
  </si>
  <si>
    <t>JIVA CONSTRUCCIONES, S.A. DE C.V.</t>
  </si>
  <si>
    <t>DM-0026-2019</t>
  </si>
  <si>
    <t>SUBESTACION DEL CENTRO, S.A. DE C.V.</t>
  </si>
  <si>
    <t>DM-0030-2019</t>
  </si>
  <si>
    <t>DM-0031-2019</t>
  </si>
  <si>
    <t>INFRAESTRUCTURA NACIONAL CARRRETERA AGUASCALIENTES, S.A. DE C.V.</t>
  </si>
  <si>
    <t>DM-0032-2019</t>
  </si>
  <si>
    <t>GRUPO FUSION AGUASCALIENTES, S.A. DE C.V.</t>
  </si>
  <si>
    <t>DM-0035-2019</t>
  </si>
  <si>
    <t>JOSE DE JESUS RIVAS TORRES</t>
  </si>
  <si>
    <t>DM-0036-2019</t>
  </si>
  <si>
    <t>AZ SOLUCIONES CONSTRUCTIVAS, S.A. DE C.V.</t>
  </si>
  <si>
    <t>DM-0037-2019</t>
  </si>
  <si>
    <t>ACHER CONSTRUCCIONES Y ABAST. ELECTROMECANICOS, S.A. DE C.V.</t>
  </si>
  <si>
    <t>DM-0038-2019</t>
  </si>
  <si>
    <t>2019-PDM-0080-DM-05-014</t>
  </si>
  <si>
    <t>80</t>
  </si>
  <si>
    <t>Rehabilitación de Mercado Terán 2da. Etapa. Calle 5 de Mayo, entre Calle Unión  y Calle Arteaga, Centro Zona.</t>
  </si>
  <si>
    <t>88</t>
  </si>
  <si>
    <t>Rehabilitación de Alberca V.N.S.A., Instalaciones y Techumbre Av. Poliducto S/N, Fracc. Villas de Nuestra Señora de la Asunción.</t>
  </si>
  <si>
    <t>95</t>
  </si>
  <si>
    <t>Impermeabilización de Techumbre, centro de Atención Municipal. CAM Av. Adolfo López Mateos S/N, Obraje Col.</t>
  </si>
  <si>
    <t>96</t>
  </si>
  <si>
    <t>Aislante Termoacustico de Techumbre, centro de Atención Municipal CAM Av. Adolfo López Mateos S/N, Obraje Col.</t>
  </si>
  <si>
    <t>2019-PDM-0097-DM-05-021</t>
  </si>
  <si>
    <t>97</t>
  </si>
  <si>
    <t>Centro de Atención Municipal CAM, rehabilitación de de Nave Av. Adolfo López Mateos S/N, Obraje Col.</t>
  </si>
  <si>
    <t>2019-PDM-0098-DM-05-022</t>
  </si>
  <si>
    <t>98</t>
  </si>
  <si>
    <t>Centro de Atención Municipal CAM, Cuarto de Valores, Cisterna y Acabados.  Av. Adolfo López Mateos S/N, Obraje Col.</t>
  </si>
  <si>
    <t>2019-PDM-0099-DM-05-023</t>
  </si>
  <si>
    <t>99</t>
  </si>
  <si>
    <t>Centro de Atención Municipal CAM, Rehabilitación de Fachada Nor-Oriente.  Av. Adolfo López Mateos S/N, Obraje Col.</t>
  </si>
  <si>
    <t>2019-PDM-0100-DM-05-024</t>
  </si>
  <si>
    <t>Centro de Atención Municipal CAM, Acabados en Locales Comerciales  Av. Adolfo López Mateos S/N, Obraje Col.</t>
  </si>
  <si>
    <t>SILJA INGENIERIA, S.A. DE C.V.</t>
  </si>
  <si>
    <t>DM-0177-2018/2019</t>
  </si>
  <si>
    <r>
      <t xml:space="preserve">2018/2019-PDM-0258-003-DM-05-041 </t>
    </r>
    <r>
      <rPr>
        <b/>
        <sz val="11"/>
        <rFont val="Futura Bk BT"/>
      </rPr>
      <t>FINAL</t>
    </r>
  </si>
  <si>
    <t>Participantes</t>
  </si>
  <si>
    <t>Estatal</t>
  </si>
  <si>
    <t>2019-FORTAMUNDF-0087-DM-06-002</t>
  </si>
  <si>
    <t>Pago al Servicio de la Deuda 2019</t>
  </si>
  <si>
    <t>ZITUM DESARROLLADORES S.A. DE C.V.</t>
  </si>
  <si>
    <t>AD 022/2019</t>
  </si>
  <si>
    <t>VICENTE MUELA PARGA</t>
  </si>
  <si>
    <t>AD 024/2019</t>
  </si>
  <si>
    <t>ANEXO TECNICO</t>
  </si>
  <si>
    <t>001-A</t>
  </si>
  <si>
    <t>Prevención Social de Violencia y la Delincuencia con Participación Ciudadana</t>
  </si>
  <si>
    <t>002-A</t>
  </si>
  <si>
    <t>Fortalecimiento de las Capacicdades de Evaluación en Control de Confianza</t>
  </si>
  <si>
    <t>Elementos</t>
  </si>
  <si>
    <t>003-A</t>
  </si>
  <si>
    <t>Profesionalización de las Instituciones de Seguridad Pública</t>
  </si>
  <si>
    <t>Varias</t>
  </si>
  <si>
    <t>004-A</t>
  </si>
  <si>
    <t>Fortalecimiento de Programas Prioritarios Locales de las Intittuciones de Seguridad Pública de Impartició de Justicia</t>
  </si>
  <si>
    <t>Piezas</t>
  </si>
  <si>
    <t>005-A</t>
  </si>
  <si>
    <t>Red Nacional de Radiocomunicación</t>
  </si>
  <si>
    <t>Servicio</t>
  </si>
  <si>
    <t>007-A</t>
  </si>
  <si>
    <t>Restructuración y homologación salarial de los elementos policiales</t>
  </si>
  <si>
    <t>Proyecto</t>
  </si>
  <si>
    <t>-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</si>
  <si>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FORTASEG 2019</t>
    </r>
  </si>
  <si>
    <t>DEUDA PÚBLICA</t>
  </si>
  <si>
    <t>MULTICOMERCIALIZADORA ASTRAL S.A. DE C.V.</t>
  </si>
  <si>
    <t>AD 020/2019</t>
  </si>
  <si>
    <t>SER.PUB</t>
  </si>
  <si>
    <t>2019-FISMDF-0105-05203-021</t>
  </si>
  <si>
    <t>105</t>
  </si>
  <si>
    <t>Mejora de Alumbrado Público Col. Insurgentes Etapa 1 (Varias Calles) Col. Insurgentes Etapa 1</t>
  </si>
  <si>
    <t>2019-FISMDF-0106-05203-022</t>
  </si>
  <si>
    <t>106</t>
  </si>
  <si>
    <t>Mejora de Alumbrado Público Col. Insurgentes Etapa 1 (Varias Calles) Col. Insurgentes Etapa 2</t>
  </si>
  <si>
    <t>2019-FISMDF-0107-05203-023</t>
  </si>
  <si>
    <t>107</t>
  </si>
  <si>
    <t>2019-FISMDF-0108-05203-024</t>
  </si>
  <si>
    <t>108</t>
  </si>
  <si>
    <t>Mejora de Alumbrado Público Col. Insurgentes Etapa 1 (Varias Calles) Col. Insurgentes Etapa 4</t>
  </si>
  <si>
    <t>2019-FISMDF-0109-05203-025</t>
  </si>
  <si>
    <t>109</t>
  </si>
  <si>
    <t>Mejora de Alumbrado Público Col. Insurgentes Etapa 1 (Varias Calles) Col. Insurgentes Etapa 5</t>
  </si>
  <si>
    <t>2019-FISMDF-0110-05203-026</t>
  </si>
  <si>
    <t>Mejora de Alumbrado Público Col. Insurgentes Etapa 1 (Varias Calles) Col. Insurgentes Etapa 6</t>
  </si>
  <si>
    <t>CAPAMA</t>
  </si>
  <si>
    <t>111</t>
  </si>
  <si>
    <t>112</t>
  </si>
  <si>
    <t>113</t>
  </si>
  <si>
    <t>114</t>
  </si>
  <si>
    <t>115</t>
  </si>
  <si>
    <t>116</t>
  </si>
  <si>
    <t>2019-FISMDF-0117-0740215-033</t>
  </si>
  <si>
    <t>117</t>
  </si>
  <si>
    <t>Mejoramiento de la Escuela Secundaria Técnica N° 42 Nueva Creación C.Ismael Rodriguez Negrete N° 601 Real del Sol</t>
  </si>
  <si>
    <t>2019-FISMDF-0118-0740214-034</t>
  </si>
  <si>
    <t>118</t>
  </si>
  <si>
    <t>Mejoramiento de Escuela Primaria Miguel Angel Barberena Vega C. Trabajo N° 401 Solidaridad Fracc. 1a Secc.</t>
  </si>
  <si>
    <t>119</t>
  </si>
  <si>
    <t>2019-FISMDF-0120-0740214-036</t>
  </si>
  <si>
    <t>120</t>
  </si>
  <si>
    <t>Mejoramiento de Escuela Primaria Mexico C. Coahuila N° 202 Fracc. Mexico</t>
  </si>
  <si>
    <t>2019-FISMDF-0121-0740214-037</t>
  </si>
  <si>
    <t>121</t>
  </si>
  <si>
    <t>Mejoramiento de Escuela Primaria Alberto Fuentes Davila C.Heroes de Chapultepec Ojo de Agua de Palmitas</t>
  </si>
  <si>
    <t>2019-FISMDF-0122-0740214-038</t>
  </si>
  <si>
    <t>122</t>
  </si>
  <si>
    <t>Mejoramiento de Escuela ETV N° 103 Jose Guadalupe Posada C. Cardenal N° 405 El Conejal</t>
  </si>
  <si>
    <t>2019-FISMDF-0123-0740214-039</t>
  </si>
  <si>
    <t>123</t>
  </si>
  <si>
    <t>Mejoramiento de Escuela Secundaria N° 35 Jaime Sabines Av. de la Salud Esq. Próceres de la Enseñanza J. Guadalupe Peralta</t>
  </si>
  <si>
    <t>2019-FISMDF-0124-0740214-040</t>
  </si>
  <si>
    <t>124</t>
  </si>
  <si>
    <t>Mejoramiento de Escuela Primaria Humberto Ramirez Diaz C.San Pedro Ojocaliente 3aSecc.</t>
  </si>
  <si>
    <t>100000</t>
  </si>
  <si>
    <t>VIVIENDA</t>
  </si>
  <si>
    <t>39</t>
  </si>
  <si>
    <t>427</t>
  </si>
  <si>
    <t>230</t>
  </si>
  <si>
    <t>548</t>
  </si>
  <si>
    <t>85</t>
  </si>
  <si>
    <t>1139</t>
  </si>
  <si>
    <t>INV.RESTRINGIDA</t>
  </si>
  <si>
    <t>JOSE ASUNCION ORTIZ GAMEZ</t>
  </si>
  <si>
    <t>FISMDF-0081-2019</t>
  </si>
  <si>
    <t>FISMDF-0082-2019</t>
  </si>
  <si>
    <t>FISMDF-0083-2019</t>
  </si>
  <si>
    <t>FISMDF-0084-2019</t>
  </si>
  <si>
    <t>65</t>
  </si>
  <si>
    <t xml:space="preserve">Instalación de Reflectores en el Tunel de la Avenida Adolfo Lopez Mateos, Entre Topete del Valle y Pedro de Alba, Zona Centro. </t>
  </si>
  <si>
    <t>PIEZAS</t>
  </si>
  <si>
    <t>2019-PDM-0070-DM-05-016</t>
  </si>
  <si>
    <t>70</t>
  </si>
  <si>
    <t>Ampliación de la 2a. Etapa del Panteón Municipal el Refugio. Av. Siglo XXI Sur S/N, Ciudad de Aguascalientes.</t>
  </si>
  <si>
    <t>2019-PDM-0094-DM-05-017</t>
  </si>
  <si>
    <t>94</t>
  </si>
  <si>
    <t>Rehabilitación de Rastro Municipal. Carretera Aguascalientes-San Francisco de los Romo KM21</t>
  </si>
  <si>
    <t>2019-PDM-0101-UR-01-034</t>
  </si>
  <si>
    <t>101</t>
  </si>
  <si>
    <t>Construcción de Sobrecarpeta Asfáltica, Calle 5 de Mayo. Tramo: Entre Salida de Paso a Desnivel y Calle Ignacio Zaragoza Aguascalientes Mpio.</t>
  </si>
  <si>
    <t>102</t>
  </si>
  <si>
    <t>Centro de Atención Municipal CAM, Ventilación Industrial. Av. Adolfo López Mateos S/N, Obraje Col.</t>
  </si>
  <si>
    <t>DM-102-2019</t>
  </si>
  <si>
    <t>PROGRAMA DE APÓYO A COMUNIDADES PARA LA RESTAURACION DE MONUMENTOS Y BIENES ARTÍSTICOS PROPIEDAD FEDERAL</t>
  </si>
  <si>
    <t>Prog.</t>
  </si>
  <si>
    <t>2019-FOREMOBA-0104-SS-02-01</t>
  </si>
  <si>
    <t>04</t>
  </si>
  <si>
    <t>104</t>
  </si>
  <si>
    <t>797010</t>
  </si>
  <si>
    <t xml:space="preserve"> (FOREMOBA 2018-2019)</t>
  </si>
  <si>
    <t>RAFAEL MARTINEZ DELGADO</t>
  </si>
  <si>
    <t>DM-055-2019</t>
  </si>
  <si>
    <t>JAIME ALEJANDRO SALAZAR ROMERO</t>
  </si>
  <si>
    <t>DM-0056-2019</t>
  </si>
  <si>
    <t>O.L. DISEÑO Y URBANIZACION, S.A. DE C.V.</t>
  </si>
  <si>
    <t>DM-0057-2019</t>
  </si>
  <si>
    <t>JORGE MARCOS MIRANDA</t>
  </si>
  <si>
    <t>DM-0060-2019</t>
  </si>
  <si>
    <t>COTECO, S.A. DE C.V.</t>
  </si>
  <si>
    <t>DM-0080-2019</t>
  </si>
  <si>
    <t>HDI ARQUITECTURA Y CONSTRUCCION S.A. DE C.V.</t>
  </si>
  <si>
    <t>DM-0088-2019</t>
  </si>
  <si>
    <t>DM-0095-2019</t>
  </si>
  <si>
    <t>INGENIERIA Y ARQUITECTURA H3, .A. DE C.V.</t>
  </si>
  <si>
    <t>DM-0096-2019</t>
  </si>
  <si>
    <t>DM-0097-2019</t>
  </si>
  <si>
    <t>JULIO CESAR BADILLO</t>
  </si>
  <si>
    <t>DM-099-2019</t>
  </si>
  <si>
    <t>DM-100-2019</t>
  </si>
  <si>
    <r>
      <t xml:space="preserve">2018/2019-PDM-0209-003-ID-03-013 </t>
    </r>
    <r>
      <rPr>
        <b/>
        <sz val="11"/>
        <rFont val="Futura Bk BT"/>
      </rPr>
      <t>FINAL</t>
    </r>
  </si>
  <si>
    <r>
      <t xml:space="preserve">2018/2019-PDM-0251-003-DM-05-036 </t>
    </r>
    <r>
      <rPr>
        <b/>
        <sz val="11"/>
        <rFont val="Futura Bk BT"/>
      </rPr>
      <t>FINAL</t>
    </r>
  </si>
  <si>
    <t>2018/2019-PDM-0254-003-DM-05-038 FINAL</t>
  </si>
  <si>
    <r>
      <t xml:space="preserve">2019-PDM-0007-001-UR-01-004 </t>
    </r>
    <r>
      <rPr>
        <b/>
        <sz val="11"/>
        <rFont val="Futura Bk BT"/>
      </rPr>
      <t>FINAL</t>
    </r>
  </si>
  <si>
    <r>
      <t xml:space="preserve">2019-PDM-0008-001-UR-01-005 </t>
    </r>
    <r>
      <rPr>
        <b/>
        <sz val="11"/>
        <rFont val="Futura Bk BT"/>
      </rPr>
      <t>FINAL</t>
    </r>
  </si>
  <si>
    <r>
      <t xml:space="preserve">2019-PDM-0009-001-UR-01-006 </t>
    </r>
    <r>
      <rPr>
        <b/>
        <sz val="11"/>
        <rFont val="Futura Bk BT"/>
      </rPr>
      <t>FINAL</t>
    </r>
  </si>
  <si>
    <r>
      <t xml:space="preserve">2019-PDM-0038-001-EA-01-001 </t>
    </r>
    <r>
      <rPr>
        <b/>
        <sz val="11"/>
        <rFont val="Futura Bk BT"/>
      </rPr>
      <t>FINAL</t>
    </r>
  </si>
  <si>
    <t>DM-0098-2019</t>
  </si>
  <si>
    <t>DM-0101-2019</t>
  </si>
  <si>
    <t>2019-PDM-0148-DM-05-026</t>
  </si>
  <si>
    <t>148</t>
  </si>
  <si>
    <t>Estancia Protectora de Menores de la Dirección de Justicia Municipal. Instalaciones C-4, Aguascalientes Mpio.</t>
  </si>
  <si>
    <t>2019-PDM-0149-ID-03-006</t>
  </si>
  <si>
    <t>149</t>
  </si>
  <si>
    <t>Rehabilitación de la Alberca V.N.S.A. Reparaciones y Acabados. Av. Poliducto S/N. Fracc. Villa de Nuestra Señora de la Asunción, Aguascalientes.</t>
  </si>
  <si>
    <r>
      <t xml:space="preserve">2018/2019-PDM-0250-003-DM-05-035 </t>
    </r>
    <r>
      <rPr>
        <b/>
        <sz val="11"/>
        <rFont val="Futura Bk BT"/>
      </rPr>
      <t>FINAL</t>
    </r>
  </si>
  <si>
    <t>CONVOCATORIA PUBLICA</t>
  </si>
  <si>
    <t>FISMDF-CAP-05-2019</t>
  </si>
  <si>
    <t>JORGE MIRANDA GALLARDO</t>
  </si>
  <si>
    <t>FISMDF-CAP-03-2019</t>
  </si>
  <si>
    <t>02</t>
  </si>
  <si>
    <t>ZIRAHUEN PLANEACION S.A. DE C.V.</t>
  </si>
  <si>
    <t>FISMDF-CAP-04-2019</t>
  </si>
  <si>
    <t>06</t>
  </si>
  <si>
    <t>ADJUDICACION DIRECTA</t>
  </si>
  <si>
    <t>JOSMAR CONSTRUCCIONES S.A. DE C.V.</t>
  </si>
  <si>
    <t>FISMDF-CAP-01-2019</t>
  </si>
  <si>
    <t>CONSORCIO INDUSTRIAL INTERNACIONA AIRE S.A. DE C.V.</t>
  </si>
  <si>
    <t>CONSTRUCCIONES EK3 S.A. DE C.V.</t>
  </si>
  <si>
    <t>L.V. CONSTRUCCION S.A. DE C.V.</t>
  </si>
  <si>
    <t>FISMDF-CAP-06-2019</t>
  </si>
  <si>
    <t>O L DISEÑO Y URBANIZACION S.A. DE C.V.</t>
  </si>
  <si>
    <t>FISMDF-CAP-02-2019</t>
  </si>
  <si>
    <t>INVITACION RESTRINJIDA</t>
  </si>
  <si>
    <t>RODERIK PALACIOS</t>
  </si>
  <si>
    <t>FISMDF-091-2019</t>
  </si>
  <si>
    <t>FRADAG CONSTRUCCIONES S.A. DE C.V.</t>
  </si>
  <si>
    <t>FISMDF-CAP-07-2019</t>
  </si>
  <si>
    <t>FISMDF-0112-2019</t>
  </si>
  <si>
    <t>JOSE PADILLA GONZALEZ</t>
  </si>
  <si>
    <t>FISMDF-0117-2019</t>
  </si>
  <si>
    <t>SINERGIA PROYECTOS Y CONSTRUCCIONES S.A. DE C.V.</t>
  </si>
  <si>
    <t>FISMDF-0119-2019</t>
  </si>
  <si>
    <t>IGNACIO JIMENEZ ARMAS</t>
  </si>
  <si>
    <t>FISMDF-0120-2019</t>
  </si>
  <si>
    <t>GRUPO CONSTRUCTOR INTERNACIONAL DEL CENTRO S.A. DE C.V.</t>
  </si>
  <si>
    <t>FISMDF-0122-2019</t>
  </si>
  <si>
    <t>CONSTRUCCIONES INGENIERA ELECTRICA OLVERA S.A. DE C.V.</t>
  </si>
  <si>
    <t>FISMDF-0123-2019</t>
  </si>
  <si>
    <t>2019-FISMDF-0125-0740215-041</t>
  </si>
  <si>
    <t>125</t>
  </si>
  <si>
    <t>Mejoramiento de Centro de Atención Multiple IV C. Vidrieros Fracc. Municipio Libre</t>
  </si>
  <si>
    <t>160</t>
  </si>
  <si>
    <t>2019-FISMDF-0126-0740214-042</t>
  </si>
  <si>
    <t>126</t>
  </si>
  <si>
    <t>Mejoramiento de Escuela Primaria Plan de Iguala C. Pozo de la Cruz N° 125 Fracc. Pozo Bravo</t>
  </si>
  <si>
    <t>590</t>
  </si>
  <si>
    <t>2019-FISMDF-0127-0411101-043</t>
  </si>
  <si>
    <t>127</t>
  </si>
  <si>
    <t>Pavimento Hidraulico C. Edmundo Gámez Orozco Tramo entre Prol. Edmundo Gámez Orozco y C. Reforma Com. Cañada Honda</t>
  </si>
  <si>
    <t>300</t>
  </si>
  <si>
    <t>2019-FISMDF-0128-0411101-044</t>
  </si>
  <si>
    <t>128</t>
  </si>
  <si>
    <t>Pavimento Hidraulico C. Reforma Tramo Entre C. Edmundo Gámez Orozco y C. Independencia Com. Cañada Honda</t>
  </si>
  <si>
    <t>2019-FISMDF-0129-0411101-045</t>
  </si>
  <si>
    <t>129</t>
  </si>
  <si>
    <t>Pavimento Hidraulico C. Clavel Tramo entre L 3 M10 y C. Nardo Ej. Norias de Paso Hondo</t>
  </si>
  <si>
    <t>450</t>
  </si>
  <si>
    <t>2019-FISMDF-0131-0411101-046</t>
  </si>
  <si>
    <t>131</t>
  </si>
  <si>
    <t>Pavimento Hidraulico C. Nardo Tramo entre Antigua Carretera a S.L.P. y C. Clavel Ej. Norias de Paso Hondo</t>
  </si>
  <si>
    <t>2019-FISMDF-0132-0740215-047</t>
  </si>
  <si>
    <t>132</t>
  </si>
  <si>
    <t>Mejoramiento de Escuela Secundaria General N° 34 Mahatma Gandhi C. Fernan Glez. de Eslava Esq. Con Av.Jose de Jesus Gonzalez Garcia Villa de Nuestra Señora de la Asunción Sector Guadaluipe 1a Sección</t>
  </si>
  <si>
    <t>1268</t>
  </si>
  <si>
    <t>2019-FISMDF-0133-0740215-048</t>
  </si>
  <si>
    <t>133</t>
  </si>
  <si>
    <t>Mejoramiento de Escuela Secundaria Técnica N° 32 Francisco Aguayo Mora C.Chichen-Itza N° 1101 Fracc. Morelos 1a. Secc.</t>
  </si>
  <si>
    <t>1220</t>
  </si>
  <si>
    <t>2019-FISMDF-0134-0411101-049</t>
  </si>
  <si>
    <t>134</t>
  </si>
  <si>
    <t>Pavimento Hidraulico C.Manuel J. Clouthier Tramo entre C.Sor Juana Ines de la Cruz y C. 20 de Noviembre Com. Jaltomate</t>
  </si>
  <si>
    <t>2019-FISMDF-0135-0411101-050</t>
  </si>
  <si>
    <t>135</t>
  </si>
  <si>
    <t>Pavimento Hidraulico C. Sor Juane Ines de la Cruz Tramo entre C. Adolfo Lopez Mateos y C. Manuel J. Clouthier Com. Jaltomate</t>
  </si>
  <si>
    <t>136</t>
  </si>
  <si>
    <t>137</t>
  </si>
  <si>
    <t>138</t>
  </si>
  <si>
    <t>139</t>
  </si>
  <si>
    <t>140</t>
  </si>
  <si>
    <t>141</t>
  </si>
  <si>
    <t>144</t>
  </si>
  <si>
    <t>2019-FISMDF-0145-08303-058</t>
  </si>
  <si>
    <t>145</t>
  </si>
  <si>
    <t>Construcción de 16 Recamaras Adicionales Planta Alta Zona 09-PA Varios Puntos del Municipio Aguascalientes</t>
  </si>
  <si>
    <t>146</t>
  </si>
  <si>
    <t>69</t>
  </si>
  <si>
    <t>147</t>
  </si>
  <si>
    <t>01</t>
  </si>
  <si>
    <t>LICITACION PUBLICA</t>
  </si>
  <si>
    <t>ADE-050-2019</t>
  </si>
  <si>
    <r>
      <t xml:space="preserve">2019-PDM-0004-001-UR-01-001 </t>
    </r>
    <r>
      <rPr>
        <b/>
        <sz val="11"/>
        <rFont val="Futura Bk BT"/>
      </rPr>
      <t>FINAL</t>
    </r>
  </si>
  <si>
    <r>
      <t>Construcción de Sobrecarpeta Asfaltica, callle Arroz, tramo: entre Av. Aguascalientes y Calle  B. Tierra Buena Fracc.</t>
    </r>
    <r>
      <rPr>
        <b/>
        <sz val="11"/>
        <rFont val="Futura Bk BT"/>
      </rPr>
      <t>(CANCELADA</t>
    </r>
    <r>
      <rPr>
        <sz val="11"/>
        <rFont val="Futura Bk BT"/>
        <family val="2"/>
      </rPr>
      <t>)</t>
    </r>
  </si>
  <si>
    <r>
      <t xml:space="preserve">2019-PDM-0016-001-UR-01-011 </t>
    </r>
    <r>
      <rPr>
        <b/>
        <sz val="11"/>
        <rFont val="Futura Bk BT"/>
      </rPr>
      <t>FINAL</t>
    </r>
  </si>
  <si>
    <r>
      <t xml:space="preserve">2019-PDM-0019-001-UR-04-013 </t>
    </r>
    <r>
      <rPr>
        <b/>
        <sz val="11"/>
        <rFont val="Futura Bk BT"/>
      </rPr>
      <t>FINAL</t>
    </r>
  </si>
  <si>
    <r>
      <t xml:space="preserve">2019-PDM-0065-001-EA-01-003 </t>
    </r>
    <r>
      <rPr>
        <b/>
        <sz val="11"/>
        <rFont val="Futura Bk BT"/>
      </rPr>
      <t>CANCELADA</t>
    </r>
  </si>
  <si>
    <t>DM-0070-2019</t>
  </si>
  <si>
    <r>
      <t xml:space="preserve">2019-PDM-0088-001-ID-03-005 </t>
    </r>
    <r>
      <rPr>
        <b/>
        <sz val="11"/>
        <rFont val="Futura Bk BT"/>
      </rPr>
      <t>FINAL</t>
    </r>
  </si>
  <si>
    <t>SALINAS LARUMBE DISEÑO Y CONSTRUCCION, S. DE R.L. DE C.V.</t>
  </si>
  <si>
    <t>DM-0094-2019</t>
  </si>
  <si>
    <r>
      <t xml:space="preserve">2018/2019-PDM-0130-003-S5-02-003 </t>
    </r>
    <r>
      <rPr>
        <b/>
        <sz val="11"/>
        <rFont val="Futura Bk BT"/>
      </rPr>
      <t>FINAL</t>
    </r>
  </si>
  <si>
    <t>RENOVADORA DE LA CONSTRUCCION DEL SURESTE, S.A. DE C.V.</t>
  </si>
  <si>
    <t>DM-0143-2018</t>
  </si>
  <si>
    <t>CONSTRUCCIONES Y PROYECTOS AMBIENTALES PRAGARBA, S.A. DE C.V.</t>
  </si>
  <si>
    <t>DM-0148-2019</t>
  </si>
  <si>
    <t>2019-PDM-0157-DM-05-027</t>
  </si>
  <si>
    <t>157</t>
  </si>
  <si>
    <t>Rehabilitación de Módulo de Seguridad Av. Aguascalientes Poniente, Esq. Calle Aquiles Elorduy./ San Marcos Barrio.</t>
  </si>
  <si>
    <r>
      <t xml:space="preserve">2018/2019-PDM-0252-003-DM-05-037 </t>
    </r>
    <r>
      <rPr>
        <b/>
        <sz val="11"/>
        <rFont val="Futura Bk BT"/>
      </rPr>
      <t>FINAL</t>
    </r>
  </si>
  <si>
    <r>
      <t xml:space="preserve">2018/2019-PDM-0256-003-ID-03-015 </t>
    </r>
    <r>
      <rPr>
        <b/>
        <sz val="11"/>
        <rFont val="Futura Bk BT"/>
      </rPr>
      <t>FINAL</t>
    </r>
  </si>
  <si>
    <r>
      <t xml:space="preserve">2018/2019-PDM-0257-003-DM-05-040 </t>
    </r>
    <r>
      <rPr>
        <b/>
        <sz val="11"/>
        <rFont val="Futura Bk BT"/>
      </rPr>
      <t>FINAL</t>
    </r>
  </si>
  <si>
    <t>DM-0257-2019</t>
  </si>
  <si>
    <t>2019-FORTAMUNDF-0061-001-AS-03-001</t>
  </si>
  <si>
    <t>2019-FORTAMUNDF-0062-001-AS-03-002</t>
  </si>
  <si>
    <t>2019-FORTAMUNDF-0063-001-AS-03-003</t>
  </si>
  <si>
    <t>2019-FORTAMUNDF-0064-001-AS-03-004</t>
  </si>
  <si>
    <t>SFPM</t>
  </si>
  <si>
    <t>2019-FORTAMUNDF-0161-ID-03-001</t>
  </si>
  <si>
    <t>Rehabilitación de Parque Haciendas II</t>
  </si>
  <si>
    <t>Obra</t>
  </si>
  <si>
    <t>2019-FORTAMUNDF-0162-ID-03-002</t>
  </si>
  <si>
    <t>Rehabilitación de Polideportivo Ojocaliente III (Línea Verde)</t>
  </si>
  <si>
    <t>2019-FORTAMUNDF-0163-ID-03-003</t>
  </si>
  <si>
    <t>Rehabilitación de Parque Ojocaliente III</t>
  </si>
  <si>
    <t>2019-FORTAMUNDF-0164-ID-03-004</t>
  </si>
  <si>
    <t>Rehabilitación de Centro Deportivo Municipal Pensadores Mexicanos</t>
  </si>
  <si>
    <t>2019-FORTAMUNDF-0165-ID-03-005</t>
  </si>
  <si>
    <t>Rehabilitación de Polideportivo Solidadridad I (Línea Verde)</t>
  </si>
  <si>
    <t>2019-FORTAMUNDF-0166-ID-03-006</t>
  </si>
  <si>
    <t>Rehabilitación Alberca Boulevares</t>
  </si>
  <si>
    <t>2019-FISMDF-0071-001-02062-005</t>
  </si>
  <si>
    <t>Rehabilitación de la Red de Alcantarillado Sanitarioa en C. Dr. Francisco Guel Jimenez en en el Tramo de c. Francisco M. Revilla a C.Humberto Gonzalez Araujo  Fracc. Benito Palomino Dena Etapa 1(MODIFICADO)</t>
  </si>
  <si>
    <t>FISMDF-CAP-10-2019</t>
  </si>
  <si>
    <t>2019-FISMDF-0073-001-02062-007</t>
  </si>
  <si>
    <t>Construcción de Red de Alcantarillado Sanitario en la C. Lic. Francisco Ramirez Martinez en el Tramo de C.Francisco M. Revilla a C. Humberto Gonzalez Araujo Fracc. Benito Palomino Dena Etapa 1(MODIFICADO)</t>
  </si>
  <si>
    <t>2019-FISMDF-0074-001-02062-008</t>
  </si>
  <si>
    <t>Construcción de Red de Alcantarillado Sanitario de la C. Ma. Del Carmen Martin del Campo en el Tramo de C. Gilberto Lopez Velarde a C. Humberto Gonzalez Araujo del Fracc.Benito Palomino Dena Etapa 1(MODIFICADO)</t>
  </si>
  <si>
    <t>076</t>
  </si>
  <si>
    <t>AGCCONSTRUCCIONES S.A. DE C.V.</t>
  </si>
  <si>
    <t>FISMDF-CAP-08-2019</t>
  </si>
  <si>
    <t>FRAGUSA S.A. DE C.V.</t>
  </si>
  <si>
    <t>FISMDF-CAP-09-2019</t>
  </si>
  <si>
    <t>2019-FISMDF-0086-001-02071-015</t>
  </si>
  <si>
    <t>Construcción de Canal de Desfogue Revestido a Cielo Abierto en el Bordo Santa Elena Ex E jido Cumbres Transiciones Vertedor Alcantarillada Canal Desfogue y Muro Cerca de Protección Bordo Santa Elena Ex Ejido Cumbres(MODIFICADO)</t>
  </si>
  <si>
    <t>ACHER CONSTRUCCIONES Y ABASTECIMIENTOS S.A. C.V.</t>
  </si>
  <si>
    <t>FISMDF-0105-2019</t>
  </si>
  <si>
    <r>
      <t>Mejora de Alumbrado Público Col. Insurgentes Etapa 1 (Varias Calles) Col. Insurgentes Etapa 3</t>
    </r>
    <r>
      <rPr>
        <b/>
        <sz val="11"/>
        <rFont val="Futura Bk BT"/>
      </rPr>
      <t>(CANCELADA)</t>
    </r>
  </si>
  <si>
    <t>FERNANDO DE JESUS ESPARZA</t>
  </si>
  <si>
    <t>FISMDF-0108-2019</t>
  </si>
  <si>
    <t>2019-FISMDF-0111-001-02062-027</t>
  </si>
  <si>
    <t>Rehabilitacion del Sistema de Alcantarillado Sanitario de la C. I.ndependencia entre la C. Revolución y el Arroyo San Francisco Col. Vicente Guerrero(MODIFICADO)</t>
  </si>
  <si>
    <t>SERGIO EDUARDO ROMO</t>
  </si>
  <si>
    <t>FISMDF-0113-2019</t>
  </si>
  <si>
    <t>MAZA INFRAESTRUCTURA S.A. C.V.</t>
  </si>
  <si>
    <t>FISMDF-0114-2019</t>
  </si>
  <si>
    <t>GRUPO EMPRESARIAL CAAD S.A.C.V.</t>
  </si>
  <si>
    <t>FISMDF-0115-2019</t>
  </si>
  <si>
    <t>MADERERIA Y CONSTRUCCIONES ALLPINO S.A. C.V.</t>
  </si>
  <si>
    <t>FISMDF-0116-2019</t>
  </si>
  <si>
    <t>EDGAR ALBERTO GOMEZ</t>
  </si>
  <si>
    <t>FISMDF-0118-2019</t>
  </si>
  <si>
    <t>URCOMA S.A. DE C.V.</t>
  </si>
  <si>
    <t>FISMDF-0124-2019</t>
  </si>
  <si>
    <t>GC HIDROCALIDO S.A. DE C.V.</t>
  </si>
  <si>
    <t>FISMDF-0125-2019</t>
  </si>
  <si>
    <t>CONSTRUCTORA HERRERA IBAÑEZ S.A. C.V.</t>
  </si>
  <si>
    <t>FISMDF-0126-2019</t>
  </si>
  <si>
    <t>CONSTRUCTORA FLORES HERMANOS S.A. C.V.</t>
  </si>
  <si>
    <t>FISMDF-0127-2019</t>
  </si>
  <si>
    <t>CONSTRUCTORA ROLFE S.A. DE C.V.</t>
  </si>
  <si>
    <t>FISMDF-0128-2019</t>
  </si>
  <si>
    <t>COORPORATIVO  HERMANOS GONVAL S.A. C.V.</t>
  </si>
  <si>
    <t>FISMDF-0129-2019</t>
  </si>
  <si>
    <t>MAGS CONSTRUCCIONES S.A. C.V.</t>
  </si>
  <si>
    <t>FISMDF-0131-2019</t>
  </si>
  <si>
    <t>CONESTRUCTURA S.A. C.V.</t>
  </si>
  <si>
    <t>FISMDF-0132-2019</t>
  </si>
  <si>
    <t>METRICA DISEÑO Y CONSTRUCCION S.A. C.V.</t>
  </si>
  <si>
    <t>FISMDF-0133-2019</t>
  </si>
  <si>
    <t>FISMDF-0134-2019</t>
  </si>
  <si>
    <t>150</t>
  </si>
  <si>
    <t>151</t>
  </si>
  <si>
    <t>152</t>
  </si>
  <si>
    <t>153</t>
  </si>
  <si>
    <t>154</t>
  </si>
  <si>
    <t>155</t>
  </si>
  <si>
    <t>167</t>
  </si>
  <si>
    <t>168</t>
  </si>
  <si>
    <t>2019-FISMDF-0092-001-1137-018</t>
  </si>
  <si>
    <t>Gastos Indirectos 2019 (SEDESOM) Todo el Municipio (MODIFICADO)</t>
  </si>
  <si>
    <t>2019-FISMDF-0156-1238-067</t>
  </si>
  <si>
    <t>156</t>
  </si>
  <si>
    <t xml:space="preserve">PRODIM SEDESOM </t>
  </si>
  <si>
    <t>50</t>
  </si>
  <si>
    <t>2019-FISMDF-0158-1137-068</t>
  </si>
  <si>
    <t>158</t>
  </si>
  <si>
    <t>Gastos Indirectos ( Todo el Municipio )</t>
  </si>
  <si>
    <t>REPORTE</t>
  </si>
  <si>
    <t>2019-FISMDF-0159-1238-069</t>
  </si>
  <si>
    <t>159</t>
  </si>
  <si>
    <t>PRODIM FINANZAS</t>
  </si>
  <si>
    <t>2000</t>
  </si>
  <si>
    <t>FINANZAS</t>
  </si>
  <si>
    <t>2019-FISMDF-0160-1238-070</t>
  </si>
  <si>
    <t>PRODIM IMPLAN</t>
  </si>
  <si>
    <t>280000</t>
  </si>
  <si>
    <t>Varios</t>
  </si>
  <si>
    <t>Capitulo</t>
  </si>
  <si>
    <t>2019-PDM-0003-004-DM-01-001</t>
  </si>
  <si>
    <r>
      <t xml:space="preserve">2019-PDM-0095-001-DM-05-019 </t>
    </r>
    <r>
      <rPr>
        <b/>
        <sz val="11"/>
        <rFont val="Futura Bk BT"/>
      </rPr>
      <t>FINAL</t>
    </r>
  </si>
  <si>
    <r>
      <t xml:space="preserve">2019-PDM-0096-001-DM-05-020 </t>
    </r>
    <r>
      <rPr>
        <b/>
        <sz val="11"/>
        <rFont val="Futura Bk BT"/>
      </rPr>
      <t>FINAL</t>
    </r>
  </si>
  <si>
    <r>
      <t xml:space="preserve">2018/2019-PDM-0143-004-UR-04-053 </t>
    </r>
    <r>
      <rPr>
        <b/>
        <sz val="11"/>
        <rFont val="Futura Bk BT"/>
      </rPr>
      <t>FINAL</t>
    </r>
  </si>
  <si>
    <t>DM-00149-2019</t>
  </si>
  <si>
    <r>
      <t xml:space="preserve">2018/2019-PDM-0255-003-DM-05-039 </t>
    </r>
    <r>
      <rPr>
        <b/>
        <sz val="11"/>
        <rFont val="Futura Bk BT"/>
      </rPr>
      <t>FINAL</t>
    </r>
  </si>
  <si>
    <t>2019-FISMDF-0072-002-02062-006</t>
  </si>
  <si>
    <t>Rehabilitación de la Red de Alcantarillado de la Calle Miguel Romo Medina en el Tramo C. Gilberto Lopez Velarde a C. Humberto Gonzalez Araujo Fracc.Benito Palomino Dena Etapa (MODIFICADO)</t>
  </si>
  <si>
    <t>2019-FISMDF-0075-001-02062-009</t>
  </si>
  <si>
    <t>Rehabilitación de la Red de Alcantarillado Sanitario en C. Hector del Villar en el Tramo de C. Alfonso Rodriguez Franco a C. Humberto Gonzalez Araujo Fracc. Benito Palomino Dena Etapa 1(MODIFICADO)</t>
  </si>
  <si>
    <t>FISMDF-CAP-11-2019</t>
  </si>
  <si>
    <t>2019-FISMDF-0076-001--02062-010-CAN</t>
  </si>
  <si>
    <t>Rehabilitacion de la Red de Alcantarillado Sanitario en C. Pedro Rivas Cuellar en el Tramo de Francisco M. Revilla a Gilberto Lopez Velarde Fracc. Benito Palomino Dena Etapa 2 (MODIFICADO)</t>
  </si>
  <si>
    <t>2019-FISMDF-0079-001-02062-013</t>
  </si>
  <si>
    <t>Rehabilitación de la Red Alcantarillado Sanitario de la C. Belizario Dominguez entre Mariano Azuela y Doroteo Arango Fracc. Insurgentes (MODIFICADO)</t>
  </si>
  <si>
    <t>2019-FISMDF-0090-001-02062-016</t>
  </si>
  <si>
    <t>Rehabilitación de la Red de Alcantarillado Sanitario C. Mariano Azuela entre Pastor Roualx y J. Isabel Robles Etapa (MODIFICADO)</t>
  </si>
  <si>
    <t>FISMDF-0106-2019</t>
  </si>
  <si>
    <t>SUBESTACION DEL CENTRO S.A. DE C.V.</t>
  </si>
  <si>
    <t>FISMDF-0109-2019</t>
  </si>
  <si>
    <t>FISMDF-0110-2019</t>
  </si>
  <si>
    <t>CONSTRUURS S.A. DE C.V.</t>
  </si>
  <si>
    <t>FISMDF-0121-2019</t>
  </si>
  <si>
    <t>COPZA S. DE R.L. DE C.V.</t>
  </si>
  <si>
    <t>FISMDF-0135-2019</t>
  </si>
  <si>
    <t>CONSTRUCCIONES CTK S.A. DE C.V.</t>
  </si>
  <si>
    <t>FISMDF-0136-2019</t>
  </si>
  <si>
    <t>ARENTSEN DAVILA RAMIREZ</t>
  </si>
  <si>
    <t>FISMDF-0137-2019</t>
  </si>
  <si>
    <t>LA MONTOZA CONSTRUCCIONES S.A. DE C.V.</t>
  </si>
  <si>
    <t>FISMDF-0138-2019</t>
  </si>
  <si>
    <t>FONDO ARQUITECTURA S.A. DE C.V.</t>
  </si>
  <si>
    <t>FISMDF-0139-20109</t>
  </si>
  <si>
    <t>SERGIO MORENO GUTIERREZ</t>
  </si>
  <si>
    <t>FISMDF-0140-2019</t>
  </si>
  <si>
    <t>OLDA CONSTRUCCIONES S.A. DE C.V.</t>
  </si>
  <si>
    <t>FISMDF-0141-2019</t>
  </si>
  <si>
    <t>FISMDF-0144-2019</t>
  </si>
  <si>
    <t>FISDMDF-0146-2019</t>
  </si>
  <si>
    <t>LUVI S.A. DE C.V.</t>
  </si>
  <si>
    <t>FISMDF-0147-2019</t>
  </si>
  <si>
    <t>FISMDF-0150-2019</t>
  </si>
  <si>
    <t>FISMDF-0151-2019</t>
  </si>
  <si>
    <t>CBG CONSTRUCCIONES S.A. DE C.V.</t>
  </si>
  <si>
    <t>FISMDF-0152-2019</t>
  </si>
  <si>
    <t>GREGORIO CALVILLO SIOLVA</t>
  </si>
  <si>
    <t>FISMDF-0153-2019</t>
  </si>
  <si>
    <t>FISMDF-0154-2019</t>
  </si>
  <si>
    <t>LM4 POZOS Y CONST. S.A. DE C.V.</t>
  </si>
  <si>
    <t>FISMDF-0155-2019</t>
  </si>
  <si>
    <t>2019-FISMDF-0169-1342-073</t>
  </si>
  <si>
    <t>169</t>
  </si>
  <si>
    <t>Alberca Boulevares (Sanitarios Hombres Sanitarios Mujeres Bodega) C. Jesus Sotelo Inclan Boulevares Fracc. 1a. Secc.</t>
  </si>
  <si>
    <t>500</t>
  </si>
  <si>
    <t>2019-FISMDF-0170-02062-074</t>
  </si>
  <si>
    <t>170</t>
  </si>
  <si>
    <t>Rehabilitacion de la Red de Alcantarillado Sanitario en la C. Abraham Gonzalez entre Belizario Dominguez Fracc. Insurgentes</t>
  </si>
  <si>
    <t>2019-FISMDF-0171-02061-075</t>
  </si>
  <si>
    <t>171</t>
  </si>
  <si>
    <t>Rehabilitacion de la Red de Alcantarillado en la Tercer Privada 20 Noviembre de la Comunidad Calvillito</t>
  </si>
  <si>
    <t>2019-FISMDF-0172-02062-076</t>
  </si>
  <si>
    <t>172</t>
  </si>
  <si>
    <t>Rehabilitación de la Red de Alcantarillado C. Dr. Alfonso Rodriguez Tramo Gilberto Lopez Velarde a Fco. M. Revilla Fracc. Benito Palomino Dena</t>
  </si>
  <si>
    <t>200</t>
  </si>
  <si>
    <t>TEMPLO EXPIATORIO DEL AVE MARIA</t>
  </si>
  <si>
    <t>FOREMOBA REM  2017/2018  Municipal</t>
  </si>
  <si>
    <t>FOREMOBA REM 2018 Federal</t>
  </si>
  <si>
    <t>Licitación a cuando menos 3 personas</t>
  </si>
  <si>
    <t>Secretaria de Finanzas del Estado</t>
  </si>
  <si>
    <t>varios</t>
  </si>
  <si>
    <t>SOPM</t>
  </si>
  <si>
    <t>CONSTRUCTORA CALVILLO, S.A. DE C.V.</t>
  </si>
  <si>
    <t>FORTAMUNDF-0164-2019</t>
  </si>
  <si>
    <t>_____</t>
  </si>
  <si>
    <t>Seguimiento y Evaluación, Proyecto</t>
  </si>
  <si>
    <t>SEPTIEMBRE</t>
  </si>
  <si>
    <t>VELASER, S.A DE C.V</t>
  </si>
  <si>
    <t>FORTAMUNDF-0161-2019_</t>
  </si>
  <si>
    <t>GRUPO EMPRESARIAL CAAD, SA DE CV</t>
  </si>
  <si>
    <t>FORTAMUNDF-0162-2019</t>
  </si>
  <si>
    <t>FORTAMUNDF-0163-2019</t>
  </si>
  <si>
    <t>FORTAMUNDF-0166-2019</t>
  </si>
  <si>
    <t>FORTAMUNDF-0165-2019</t>
  </si>
  <si>
    <t>2019-FISMDF-0077-003-02062-011</t>
  </si>
  <si>
    <t>2019-FISMDF-0082-001-0411101-002</t>
  </si>
  <si>
    <t>Construccion de Pavimento Hidraulico C. San Patricio Tramo entre C. Cultura Otomi y Cosme Fracc. Los Pericos(MODIFICADO)</t>
  </si>
  <si>
    <t>2019-FISMDF-0083-001-0411101-003</t>
  </si>
  <si>
    <t>Construcción de Pavimento Hidraulico C. San Bernardo Tramo entre C. San Rafael y C. S an Cosme Fracc. Los Pericos(MODIFICADO)</t>
  </si>
  <si>
    <t>2019-FISMDF-0084-001-0411101-004</t>
  </si>
  <si>
    <t>Construcción de Pavimento Hidraulico C. S an Pablo Tramo entre C. San Rafael y C. San Cosme Fracc. Los Pericos(MODIFICADO)</t>
  </si>
  <si>
    <t>2019-FISMDF-0112-001-08303-028</t>
  </si>
  <si>
    <t>Construcción de 40 Recamaras Adicionales Zona 01-PB Varios Puntos del Mpio. de Ags.(MODIFICADO)</t>
  </si>
  <si>
    <t>2019-FISMDF-0113-001-08303-029</t>
  </si>
  <si>
    <t>Construcción de 40 Recamaras Adicionales Zona 02-PB Varios Puntos del Mpio. de Ags.(MODIFICADO)</t>
  </si>
  <si>
    <t>2019-FISMDF-0114-001-08303-030</t>
  </si>
  <si>
    <t>Construcción de 40 Recamaras Adicionales Zona 03-PB Varios Puntos del Mpio. de Ags.(MODIFICADO)</t>
  </si>
  <si>
    <t>2019-FISMDF-0115-001-08303-031</t>
  </si>
  <si>
    <t>Construcción de 40 Recamaras Adicionales Zona 04-PB Varios Puntos del Mpio. de Ags.(MODIFICADO)</t>
  </si>
  <si>
    <t>2019-FISMDF-0116-001-08303-032</t>
  </si>
  <si>
    <t>Construcción de 41 Recamaras Adicionales Zona 05-PB Varios Puntos del Mpio. de Ags.(MODIFICADO)</t>
  </si>
  <si>
    <t>2019-FISMDF-0119-001-0740214-035</t>
  </si>
  <si>
    <t>Mejoramiento de la Escuela Primaria Niños Heroes C. Belisario Dominguez C.Julian Medina Fracc. Insurgentes(MODIFICADO)</t>
  </si>
  <si>
    <t>2019-FISMDF-0136-001-08303-051</t>
  </si>
  <si>
    <t>Construcción de 40 Recamaras Adicionales Planta Alta Zona 01-PA Varios Puntos del Muincipio de Aguascalientes(MODIFICADO)</t>
  </si>
  <si>
    <t>2019-FISMDF-0137-001-08303-052</t>
  </si>
  <si>
    <t>Construcción de 37 Recamaras Adicionales Planta Alta 02-PA Varios Puntos del Municipio de Aguascalientes(MODIFICADO)</t>
  </si>
  <si>
    <t>2019-FISMDF-0138-001-08303-053</t>
  </si>
  <si>
    <t>Construcción de 31 Recamaras Adicionales Planta Alta Zona 03-PA Varios Puntos del Municipio de Aguascalientes(MODIFICADO)</t>
  </si>
  <si>
    <t>2019-FISMDF-0139-001-08303-054</t>
  </si>
  <si>
    <t>Construcción de 29 Recamaras Adicionales Planta Alta Zona 04-PA Varios Puntos del Municipio de Aguascalientes(MODIFICADO)</t>
  </si>
  <si>
    <t>2019-FISMDF-0140-001-08303-055</t>
  </si>
  <si>
    <t>Construción de 39 Recamaras Adicionales Planta Alta Zona 05- PA Varios Puntos del Mnuncipio de Aguascalientes(MODIFICADO)</t>
  </si>
  <si>
    <t>2019-FISMDF-0141-001-08303-056</t>
  </si>
  <si>
    <t>Construcción de 27 Recamaras Adicionales Planta Alta Zona 06/07-PA Varios Puntos del Municipio de Aguascalientes(MODIFICADO)</t>
  </si>
  <si>
    <t>2019-FISMDF-0144-001-08303-057</t>
  </si>
  <si>
    <t>Construcción de 33 Recamaras Adicionales Planta Alta Zona 08-PA Varios Puntos del Municipio de Aguascalientes(MODIFICADO)</t>
  </si>
  <si>
    <t>2019-FISMDF-0146-001-08303-059</t>
  </si>
  <si>
    <t>Construcción de 69 Techos Firmes ( Promedio 20 M2) Zona 01-TF Varios Puntos del Municipio de Aguascalientes(MODIFICADO)</t>
  </si>
  <si>
    <t>2019-FISMDF-0147-001-08303-060</t>
  </si>
  <si>
    <t>Construcción de 30 Baños Adicionales Zona 01-BA Varios Puntos del Municipio de Aguascalientes(MODIFICADO)</t>
  </si>
  <si>
    <t>2019-FISMDF-0150-001-08303-061</t>
  </si>
  <si>
    <t>Construccion de 32 Recamaras Adicionales Zona 06-PB Varios Puntos del Muncipio Aguascalientes(MODIFICADO)</t>
  </si>
  <si>
    <t>2019-FISMDF-0151-001-08303-062</t>
  </si>
  <si>
    <t>Construccion de 29 Recamaras Adicionales Zona 07-PB Varios Puntos del Muncipio Aguascalientes(MODIFICADO)</t>
  </si>
  <si>
    <t>2019-FISMDF-0152-001-08303-063</t>
  </si>
  <si>
    <t>Construccion de 31 Recamaras Adicionales Zona 08-PB Varios Puntos del Muncipio Aguascalientes(MODIFICADO)</t>
  </si>
  <si>
    <t>2019-FISMDF-0153-001-08303-064</t>
  </si>
  <si>
    <t>Construccion de 12 Recamaras Adicionales Zona 09-PB Varios Puntos del Muncipio Aguascalientes(MODIFICADO)</t>
  </si>
  <si>
    <t>2019-FISMDF-0154-001-08303-065</t>
  </si>
  <si>
    <t>Construccion de 22 Recamaras Adicionales Zona 10-PB Varios Puntos del Muncipio Aguascalientes(MODIFICADO)</t>
  </si>
  <si>
    <t>2019-FISMDF-0155-001-08303-066</t>
  </si>
  <si>
    <t>Construccion de 16 Recamaras Adicionales Zona 11-PB Varios Puntos del Muncipio Aguascalientes(MODIFICADO)</t>
  </si>
  <si>
    <t>2019-FISMDF-0167-001-08303-071</t>
  </si>
  <si>
    <t>Construccion de 30 Recamaras Adicionales Zona 10-PA Varios Puntos del Muncipio Aguascalientes(MODIFICADO)</t>
  </si>
  <si>
    <t>FISMDF-0167-2019</t>
  </si>
  <si>
    <t>2019-FISMDF-0168-001-08303-072</t>
  </si>
  <si>
    <t>Construccion de 30 Recamaras Adicionales Zona 11-PA Varios Puntos del Muncipio Aguascalientes(MODIFICADO)</t>
  </si>
  <si>
    <t>FISMDF-0168-2019</t>
  </si>
  <si>
    <t>CONSTRUCCIONES ARQOX S.A. DE C.V.</t>
  </si>
  <si>
    <t>FISMDF-0169-2019</t>
  </si>
  <si>
    <t>FISMDF-0170-2019</t>
  </si>
  <si>
    <t>FISMDF-0171-2019</t>
  </si>
  <si>
    <t>CODEPRO CONSTRUCCIONES S.A. DE C.V.</t>
  </si>
  <si>
    <t>FISMDF-0172-2019</t>
  </si>
  <si>
    <t>2019-FISMDF-0173-0740215-077</t>
  </si>
  <si>
    <t>173</t>
  </si>
  <si>
    <t>Rehabilitación de biblioteca Ramon Gonzalez Gonzalez C. 16 de Septiembre N° 104 Cienegal de Peñuelas</t>
  </si>
  <si>
    <t>2019-FISMDF-0174-01342-078</t>
  </si>
  <si>
    <t>174</t>
  </si>
  <si>
    <t>Rehabilitación de Unidades Deportivas Varias Puntos de la Ciudad</t>
  </si>
  <si>
    <t>30000</t>
  </si>
  <si>
    <t>2019-FISMDF-0175-01342-079</t>
  </si>
  <si>
    <t>175</t>
  </si>
  <si>
    <t>Servicios Sanitarios Parque Mexico Av. Aguascalientes Ote. y Av. Pensadores Mexicanos</t>
  </si>
  <si>
    <t>20000</t>
  </si>
  <si>
    <t>2019-FISMDF-0176-01342-080</t>
  </si>
  <si>
    <t>176</t>
  </si>
  <si>
    <t>Rehabilitacion de Oficinas Parque Luis Donaldo Colosio C. Rosalia Monroy Fracc. Jose Lopez Portillo</t>
  </si>
  <si>
    <t>2019-FISMDF-0178-01342-081</t>
  </si>
  <si>
    <t>178</t>
  </si>
  <si>
    <t>Construcción de Caseta de Vigilancia Linea Verde Av. Poliducto Mariano Hidalgo</t>
  </si>
  <si>
    <t>2019-FISMDF-0085-001-1137-014</t>
  </si>
  <si>
    <t>Gastos Indirectos 2019 (CAPAMA) Todo el Municipio(MODIFICADO)</t>
  </si>
  <si>
    <r>
      <t>Rehabilitación de la Red de Alcantarillado C. Dr. Alfonso Rodriguez Franco Fracc. Benito Palomino entre RobertoJefkins Rangel y Humberto Gonzalez Araujo</t>
    </r>
    <r>
      <rPr>
        <b/>
        <sz val="11"/>
        <rFont val="Futura Bk BT"/>
      </rPr>
      <t>(CANCELADA)</t>
    </r>
  </si>
  <si>
    <r>
      <t xml:space="preserve">2019-PDM-0006-001-UR-01-003 </t>
    </r>
    <r>
      <rPr>
        <b/>
        <sz val="11"/>
        <rFont val="Futura Bk BT"/>
      </rPr>
      <t>FINAL</t>
    </r>
  </si>
  <si>
    <r>
      <t xml:space="preserve">2019-PDM-0012-001-UR-01-009 </t>
    </r>
    <r>
      <rPr>
        <b/>
        <sz val="11"/>
        <rFont val="Futura Bk BT"/>
      </rPr>
      <t>FINAL</t>
    </r>
  </si>
  <si>
    <r>
      <t xml:space="preserve">2019-PDM-0013-001-UR-01-010 </t>
    </r>
    <r>
      <rPr>
        <b/>
        <sz val="11"/>
        <rFont val="Futura Bk BT"/>
      </rPr>
      <t>FINAL</t>
    </r>
  </si>
  <si>
    <r>
      <t xml:space="preserve">2019-PDM-0017-001-UR-01-012 </t>
    </r>
    <r>
      <rPr>
        <b/>
        <sz val="11"/>
        <rFont val="Futura Bk BT"/>
      </rPr>
      <t>FINAL</t>
    </r>
  </si>
  <si>
    <r>
      <t xml:space="preserve">2019-PDM-0020-001-UR-03-014 </t>
    </r>
    <r>
      <rPr>
        <b/>
        <sz val="11"/>
        <rFont val="Futura Bk BT"/>
      </rPr>
      <t>FINAL</t>
    </r>
  </si>
  <si>
    <r>
      <t xml:space="preserve">2019-PDM-0021-001-UR-05-015 </t>
    </r>
    <r>
      <rPr>
        <b/>
        <sz val="11"/>
        <rFont val="Futura Bk BT"/>
      </rPr>
      <t>FINAL</t>
    </r>
  </si>
  <si>
    <r>
      <t xml:space="preserve">2019-PDM-0022-001-UR-01-016 </t>
    </r>
    <r>
      <rPr>
        <b/>
        <sz val="11"/>
        <rFont val="Futura Bk BT"/>
      </rPr>
      <t>FINAL</t>
    </r>
  </si>
  <si>
    <r>
      <t xml:space="preserve">2019-PDM-0024-001-ID-01-001 </t>
    </r>
    <r>
      <rPr>
        <b/>
        <sz val="11"/>
        <rFont val="Futura Bk BT"/>
      </rPr>
      <t>FINAL</t>
    </r>
  </si>
  <si>
    <r>
      <t xml:space="preserve">2019-PDM-0025-001-ID-01-002 </t>
    </r>
    <r>
      <rPr>
        <b/>
        <sz val="11"/>
        <rFont val="Futura Bk BT"/>
      </rPr>
      <t>FINAL</t>
    </r>
  </si>
  <si>
    <r>
      <t xml:space="preserve">2018/2019-PDM-0028-004-UR-05-032 </t>
    </r>
    <r>
      <rPr>
        <b/>
        <sz val="11"/>
        <rFont val="Futura Bk BT"/>
      </rPr>
      <t>FINAL</t>
    </r>
  </si>
  <si>
    <r>
      <t xml:space="preserve">2019-PDM-0035-001-DM-06-04 </t>
    </r>
    <r>
      <rPr>
        <b/>
        <sz val="11"/>
        <rFont val="Futura Bk BT"/>
      </rPr>
      <t>FINAL</t>
    </r>
  </si>
  <si>
    <t xml:space="preserve">2019-PDM-0040-003-DM-06-008 </t>
  </si>
  <si>
    <t>2019-PDM-0041-003-DM-05-009</t>
  </si>
  <si>
    <t>2019-PDM-0042-003-DM-06-010</t>
  </si>
  <si>
    <t>2019-PDM-0043-003-DM-06-011</t>
  </si>
  <si>
    <t>2019-PDM-0044-002-DM-05-012</t>
  </si>
  <si>
    <t>2019-PDM-0045-003-IE-03-001</t>
  </si>
  <si>
    <t>2019-PDM-0046-007-UR-05-022</t>
  </si>
  <si>
    <t>2019-PDM-0047-003-UR-05-023</t>
  </si>
  <si>
    <t>2019-PDM-0048-005-DM-06-013</t>
  </si>
  <si>
    <r>
      <t xml:space="preserve">2019-PDM-0060-001-EA-01-002 </t>
    </r>
    <r>
      <rPr>
        <b/>
        <sz val="11"/>
        <rFont val="Futura Bk BT"/>
      </rPr>
      <t>FINAL</t>
    </r>
  </si>
  <si>
    <r>
      <t xml:space="preserve">2019-PDM-0102-001-DM-05-025 </t>
    </r>
    <r>
      <rPr>
        <b/>
        <sz val="11"/>
        <rFont val="Futura Bk BT"/>
      </rPr>
      <t>FINAL</t>
    </r>
  </si>
  <si>
    <r>
      <t xml:space="preserve">2018/2019-PDM-0247-003-UR-04-063 </t>
    </r>
    <r>
      <rPr>
        <b/>
        <sz val="11"/>
        <rFont val="Futura Bk BT"/>
      </rPr>
      <t>FINAL</t>
    </r>
  </si>
  <si>
    <t>BIENES MUEBLES</t>
  </si>
  <si>
    <t>SERVICIOS GENERALES</t>
  </si>
  <si>
    <r>
      <t xml:space="preserve">NOTA: </t>
    </r>
    <r>
      <rPr>
        <sz val="12"/>
        <color theme="1"/>
        <rFont val="Futura Bk BT"/>
      </rPr>
      <t xml:space="preserve"> EL IMPORTE EJERCIDO DE OBRA PÚBLICA EN EL </t>
    </r>
    <r>
      <rPr>
        <b/>
        <sz val="12"/>
        <color theme="1"/>
        <rFont val="Futura Bk BT"/>
      </rPr>
      <t>FISMDF</t>
    </r>
    <r>
      <rPr>
        <u/>
        <sz val="12"/>
        <color theme="1"/>
        <rFont val="Futura Bk BT"/>
      </rPr>
      <t xml:space="preserve"> </t>
    </r>
    <r>
      <rPr>
        <sz val="12"/>
        <color theme="1"/>
        <rFont val="Futura Bk BT"/>
      </rPr>
      <t xml:space="preserve"> INCLUYE </t>
    </r>
    <r>
      <rPr>
        <b/>
        <sz val="12"/>
        <color theme="1"/>
        <rFont val="Futura Bk BT"/>
      </rPr>
      <t xml:space="preserve"> $1´231,230.74</t>
    </r>
    <r>
      <rPr>
        <sz val="12"/>
        <color theme="1"/>
        <rFont val="Futura Bk BT"/>
      </rPr>
      <t xml:space="preserve"> POR CONCEPTO DE </t>
    </r>
    <r>
      <rPr>
        <b/>
        <sz val="12"/>
        <color theme="1"/>
        <rFont val="Futura Bk BT"/>
      </rPr>
      <t>HONORARIOS.</t>
    </r>
  </si>
  <si>
    <t xml:space="preserve"> -</t>
  </si>
  <si>
    <t>Regeneración, Glorieta La Purísima, Etapa 2, La Purísima, Barrio.</t>
  </si>
  <si>
    <t>Departamento de control presupuestal de la obra pública y programas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</si>
</sst>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.000"/>
    <numFmt numFmtId="167" formatCode="#,##0_ ;[Red]\-#,##0\ 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Futura LtCn BT"/>
      <family val="2"/>
    </font>
    <font>
      <b/>
      <sz val="10"/>
      <color theme="0"/>
      <name val="Comic Sans MS"/>
      <family val="4"/>
    </font>
    <font>
      <b/>
      <sz val="14"/>
      <color indexed="9"/>
      <name val="Calibri"/>
      <family val="2"/>
    </font>
    <font>
      <sz val="10"/>
      <name val="Comic Sans MS"/>
      <family val="4"/>
    </font>
    <font>
      <sz val="11"/>
      <color theme="1"/>
      <name val="Futura Bk BT"/>
    </font>
    <font>
      <b/>
      <sz val="11"/>
      <color theme="1"/>
      <name val="Futura Bk BT"/>
    </font>
    <font>
      <b/>
      <sz val="10"/>
      <color theme="1"/>
      <name val="Futura Bk BT"/>
    </font>
    <font>
      <sz val="8"/>
      <name val="Futura Bk BT"/>
    </font>
    <font>
      <sz val="8"/>
      <name val="Comic Sans MS"/>
      <family val="4"/>
    </font>
    <font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theme="1"/>
      <name val="Futura Bk BT"/>
    </font>
    <font>
      <sz val="14"/>
      <color theme="1"/>
      <name val="Calibri"/>
      <family val="2"/>
      <scheme val="minor"/>
    </font>
    <font>
      <sz val="16"/>
      <color theme="1"/>
      <name val="Futura Bk BT"/>
    </font>
    <font>
      <b/>
      <sz val="20"/>
      <color indexed="9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1"/>
      <name val="Futura Bk BT"/>
      <family val="2"/>
    </font>
    <font>
      <b/>
      <sz val="18"/>
      <color theme="0"/>
      <name val="Calibri"/>
      <family val="2"/>
      <scheme val="minor"/>
    </font>
    <font>
      <sz val="12"/>
      <color theme="1"/>
      <name val="Futura Bk BT"/>
    </font>
    <font>
      <sz val="18"/>
      <color theme="1"/>
      <name val="Futura Bk BT"/>
    </font>
    <font>
      <b/>
      <sz val="18"/>
      <color theme="1"/>
      <name val="Futura Bk BT"/>
    </font>
    <font>
      <b/>
      <sz val="18"/>
      <name val="Futura Bk BT"/>
    </font>
    <font>
      <b/>
      <sz val="18"/>
      <color theme="1"/>
      <name val="Calibri"/>
      <family val="2"/>
      <scheme val="minor"/>
    </font>
    <font>
      <b/>
      <sz val="16"/>
      <color theme="1"/>
      <name val="Futura Bk B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Futura Bk BT"/>
    </font>
    <font>
      <b/>
      <sz val="16"/>
      <color theme="0"/>
      <name val="Calibri"/>
      <family val="2"/>
      <scheme val="minor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b/>
      <sz val="11"/>
      <name val="Futura Bk BT"/>
      <family val="2"/>
    </font>
    <font>
      <sz val="11"/>
      <name val="Futura Hv BT"/>
      <family val="2"/>
    </font>
    <font>
      <b/>
      <i/>
      <sz val="11"/>
      <color indexed="9"/>
      <name val="Futura Hv BT"/>
      <family val="2"/>
    </font>
    <font>
      <b/>
      <sz val="11"/>
      <name val="Futura BdCn BT"/>
      <family val="2"/>
    </font>
    <font>
      <b/>
      <sz val="11"/>
      <name val="Futura BdCn BT"/>
    </font>
    <font>
      <sz val="11"/>
      <name val="NewsGoth"/>
      <family val="2"/>
    </font>
    <font>
      <b/>
      <i/>
      <sz val="11"/>
      <name val="Futura Bk BT"/>
      <family val="2"/>
    </font>
    <font>
      <sz val="8"/>
      <color theme="1"/>
      <name val="Calibri"/>
      <family val="2"/>
      <scheme val="minor"/>
    </font>
    <font>
      <sz val="11"/>
      <color theme="1"/>
      <name val="Futura BdCn BT"/>
    </font>
    <font>
      <b/>
      <sz val="11"/>
      <name val="Futura Bk BT"/>
    </font>
    <font>
      <b/>
      <sz val="16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NewsGoth"/>
      <family val="2"/>
    </font>
    <font>
      <b/>
      <i/>
      <sz val="12"/>
      <color indexed="9"/>
      <name val="Futura Hv BT"/>
      <family val="2"/>
    </font>
    <font>
      <b/>
      <sz val="8"/>
      <name val="Futura Hv BT"/>
      <family val="2"/>
    </font>
    <font>
      <b/>
      <sz val="10"/>
      <name val="Futura BdCn BT"/>
      <family val="2"/>
    </font>
    <font>
      <b/>
      <sz val="10"/>
      <name val="Futura Bk BT"/>
    </font>
    <font>
      <b/>
      <sz val="10"/>
      <name val="Futura Bk BT"/>
      <family val="2"/>
    </font>
    <font>
      <sz val="10"/>
      <name val="Futura Bk BT"/>
      <family val="2"/>
    </font>
    <font>
      <sz val="10"/>
      <color theme="1"/>
      <name val="Calibri"/>
      <family val="2"/>
      <scheme val="minor"/>
    </font>
    <font>
      <b/>
      <i/>
      <sz val="10"/>
      <name val="Futura Bk BT"/>
      <family val="2"/>
    </font>
    <font>
      <sz val="10"/>
      <name val="Futura Hv BT"/>
      <family val="2"/>
    </font>
    <font>
      <sz val="8"/>
      <name val="Futura Bk BT"/>
      <family val="2"/>
    </font>
    <font>
      <sz val="11"/>
      <name val="Futura BdCn BT"/>
    </font>
    <font>
      <b/>
      <sz val="12"/>
      <color theme="1"/>
      <name val="Calibri"/>
      <family val="2"/>
      <scheme val="minor"/>
    </font>
    <font>
      <b/>
      <sz val="11"/>
      <name val="Futura Hv BT"/>
    </font>
    <font>
      <u/>
      <sz val="12"/>
      <color theme="1"/>
      <name val="Futura Bk BT"/>
    </font>
    <font>
      <sz val="9"/>
      <color theme="1"/>
      <name val="Calibri"/>
      <family val="2"/>
      <scheme val="minor"/>
    </font>
    <font>
      <sz val="8"/>
      <name val="Futura Hv BT"/>
      <family val="2"/>
    </font>
    <font>
      <sz val="10"/>
      <name val="Futura BdCn BT"/>
      <family val="2"/>
    </font>
    <font>
      <sz val="8"/>
      <name val="NewsGoth"/>
      <family val="2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9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 vertical="center"/>
    </xf>
    <xf numFmtId="44" fontId="4" fillId="0" borderId="0" xfId="2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/>
    <xf numFmtId="43" fontId="4" fillId="4" borderId="0" xfId="1" applyFont="1" applyFill="1" applyAlignment="1">
      <alignment horizontal="center" vertical="center"/>
    </xf>
    <xf numFmtId="44" fontId="0" fillId="0" borderId="0" xfId="2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43" fontId="0" fillId="0" borderId="0" xfId="0" applyNumberFormat="1"/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0" fontId="1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9" fillId="0" borderId="0" xfId="1" applyFont="1" applyAlignment="1"/>
    <xf numFmtId="43" fontId="9" fillId="0" borderId="0" xfId="1" applyFont="1" applyAlignment="1">
      <alignment wrapText="1"/>
    </xf>
    <xf numFmtId="3" fontId="0" fillId="0" borderId="0" xfId="0" applyNumberFormat="1"/>
    <xf numFmtId="0" fontId="15" fillId="0" borderId="0" xfId="0" applyFont="1" applyFill="1"/>
    <xf numFmtId="0" fontId="15" fillId="0" borderId="0" xfId="0" applyFont="1" applyAlignment="1">
      <alignment horizontal="center"/>
    </xf>
    <xf numFmtId="43" fontId="15" fillId="0" borderId="0" xfId="1" applyFont="1" applyFill="1"/>
    <xf numFmtId="43" fontId="15" fillId="0" borderId="0" xfId="0" applyNumberFormat="1" applyFont="1" applyFill="1"/>
    <xf numFmtId="0" fontId="15" fillId="0" borderId="0" xfId="0" applyFont="1"/>
    <xf numFmtId="0" fontId="0" fillId="0" borderId="0" xfId="0" applyFont="1" applyFill="1"/>
    <xf numFmtId="0" fontId="0" fillId="0" borderId="0" xfId="0" applyFont="1"/>
    <xf numFmtId="0" fontId="16" fillId="0" borderId="0" xfId="0" applyFont="1"/>
    <xf numFmtId="43" fontId="16" fillId="0" borderId="0" xfId="1" applyFont="1"/>
    <xf numFmtId="165" fontId="15" fillId="0" borderId="0" xfId="2" applyNumberFormat="1" applyFont="1" applyBorder="1" applyAlignment="1"/>
    <xf numFmtId="0" fontId="15" fillId="0" borderId="0" xfId="0" applyFont="1" applyAlignment="1"/>
    <xf numFmtId="165" fontId="15" fillId="0" borderId="31" xfId="2" applyNumberFormat="1" applyFont="1" applyBorder="1" applyAlignment="1"/>
    <xf numFmtId="165" fontId="15" fillId="0" borderId="32" xfId="2" applyNumberFormat="1" applyFont="1" applyBorder="1" applyAlignment="1"/>
    <xf numFmtId="165" fontId="15" fillId="0" borderId="34" xfId="2" applyNumberFormat="1" applyFont="1" applyBorder="1" applyAlignment="1"/>
    <xf numFmtId="165" fontId="15" fillId="0" borderId="21" xfId="2" applyNumberFormat="1" applyFont="1" applyBorder="1" applyAlignment="1"/>
    <xf numFmtId="165" fontId="15" fillId="0" borderId="27" xfId="2" applyNumberFormat="1" applyFont="1" applyBorder="1" applyAlignment="1"/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/>
    <xf numFmtId="3" fontId="22" fillId="0" borderId="18" xfId="1" applyNumberFormat="1" applyFont="1" applyFill="1" applyBorder="1" applyAlignment="1">
      <alignment vertical="center"/>
    </xf>
    <xf numFmtId="0" fontId="23" fillId="7" borderId="4" xfId="0" applyFont="1" applyFill="1" applyBorder="1" applyAlignment="1">
      <alignment horizontal="center" vertical="center"/>
    </xf>
    <xf numFmtId="43" fontId="23" fillId="8" borderId="4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19" xfId="0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16" fillId="0" borderId="11" xfId="0" applyFont="1" applyBorder="1"/>
    <xf numFmtId="3" fontId="23" fillId="0" borderId="0" xfId="1" applyNumberFormat="1" applyFont="1" applyFill="1" applyBorder="1"/>
    <xf numFmtId="3" fontId="23" fillId="0" borderId="0" xfId="1" applyNumberFormat="1" applyFont="1" applyBorder="1"/>
    <xf numFmtId="0" fontId="0" fillId="0" borderId="11" xfId="0" applyFill="1" applyBorder="1"/>
    <xf numFmtId="43" fontId="21" fillId="0" borderId="0" xfId="1" applyFont="1"/>
    <xf numFmtId="43" fontId="21" fillId="0" borderId="0" xfId="0" applyNumberFormat="1" applyFont="1"/>
    <xf numFmtId="0" fontId="21" fillId="0" borderId="0" xfId="0" applyFont="1"/>
    <xf numFmtId="0" fontId="0" fillId="0" borderId="0" xfId="0" applyFill="1" applyBorder="1"/>
    <xf numFmtId="165" fontId="15" fillId="0" borderId="30" xfId="2" applyNumberFormat="1" applyFont="1" applyFill="1" applyBorder="1" applyAlignment="1"/>
    <xf numFmtId="166" fontId="22" fillId="0" borderId="0" xfId="0" applyNumberFormat="1" applyFont="1"/>
    <xf numFmtId="43" fontId="16" fillId="0" borderId="0" xfId="0" applyNumberFormat="1" applyFont="1"/>
    <xf numFmtId="3" fontId="0" fillId="0" borderId="0" xfId="0" applyNumberFormat="1" applyFill="1"/>
    <xf numFmtId="3" fontId="15" fillId="0" borderId="0" xfId="0" applyNumberFormat="1" applyFont="1" applyFill="1" applyAlignment="1">
      <alignment horizontal="center"/>
    </xf>
    <xf numFmtId="3" fontId="29" fillId="0" borderId="21" xfId="1" applyNumberFormat="1" applyFont="1" applyFill="1" applyBorder="1" applyAlignment="1">
      <alignment vertical="center"/>
    </xf>
    <xf numFmtId="164" fontId="29" fillId="0" borderId="33" xfId="1" applyNumberFormat="1" applyFont="1" applyFill="1" applyBorder="1" applyAlignment="1">
      <alignment vertical="center"/>
    </xf>
    <xf numFmtId="164" fontId="15" fillId="0" borderId="0" xfId="0" applyNumberFormat="1" applyFont="1" applyFill="1"/>
    <xf numFmtId="165" fontId="0" fillId="0" borderId="0" xfId="2" applyNumberFormat="1" applyFont="1" applyBorder="1" applyAlignment="1"/>
    <xf numFmtId="49" fontId="2" fillId="0" borderId="0" xfId="0" applyNumberFormat="1" applyFont="1" applyAlignment="1"/>
    <xf numFmtId="0" fontId="34" fillId="0" borderId="0" xfId="3" applyFont="1" applyAlignment="1">
      <alignment vertical="center"/>
    </xf>
    <xf numFmtId="0" fontId="34" fillId="0" borderId="0" xfId="3" applyFont="1" applyFill="1" applyAlignment="1">
      <alignment vertical="center"/>
    </xf>
    <xf numFmtId="0" fontId="34" fillId="0" borderId="11" xfId="3" applyFont="1" applyBorder="1" applyAlignment="1">
      <alignment horizontal="center"/>
    </xf>
    <xf numFmtId="0" fontId="34" fillId="0" borderId="0" xfId="3" applyFont="1"/>
    <xf numFmtId="0" fontId="34" fillId="0" borderId="0" xfId="0" applyFont="1"/>
    <xf numFmtId="0" fontId="34" fillId="0" borderId="0" xfId="3" applyFont="1" applyAlignment="1">
      <alignment horizontal="center"/>
    </xf>
    <xf numFmtId="0" fontId="1" fillId="0" borderId="0" xfId="0" applyFont="1"/>
    <xf numFmtId="0" fontId="36" fillId="6" borderId="12" xfId="3" applyFont="1" applyFill="1" applyBorder="1" applyAlignment="1">
      <alignment horizontal="center" vertical="center" wrapText="1"/>
    </xf>
    <xf numFmtId="0" fontId="36" fillId="6" borderId="10" xfId="3" applyFont="1" applyFill="1" applyBorder="1" applyAlignment="1">
      <alignment horizontal="center" vertical="center" wrapText="1"/>
    </xf>
    <xf numFmtId="0" fontId="37" fillId="5" borderId="10" xfId="3" applyFont="1" applyFill="1" applyBorder="1" applyAlignment="1">
      <alignment horizontal="center" vertical="center" wrapText="1"/>
    </xf>
    <xf numFmtId="3" fontId="36" fillId="6" borderId="10" xfId="3" applyNumberFormat="1" applyFont="1" applyFill="1" applyBorder="1" applyAlignment="1">
      <alignment horizontal="center" vertical="center" wrapText="1"/>
    </xf>
    <xf numFmtId="40" fontId="36" fillId="6" borderId="10" xfId="3" applyNumberFormat="1" applyFont="1" applyFill="1" applyBorder="1" applyAlignment="1">
      <alignment horizontal="center" vertical="center" wrapText="1"/>
    </xf>
    <xf numFmtId="0" fontId="36" fillId="6" borderId="14" xfId="3" applyFont="1" applyFill="1" applyBorder="1" applyAlignment="1">
      <alignment horizontal="center" vertical="center" wrapText="1"/>
    </xf>
    <xf numFmtId="0" fontId="38" fillId="0" borderId="0" xfId="3" applyFont="1"/>
    <xf numFmtId="0" fontId="19" fillId="0" borderId="17" xfId="0" applyFont="1" applyFill="1" applyBorder="1" applyAlignment="1">
      <alignment horizontal="center" vertical="center" wrapText="1"/>
    </xf>
    <xf numFmtId="15" fontId="19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justify" vertical="center"/>
    </xf>
    <xf numFmtId="3" fontId="33" fillId="0" borderId="18" xfId="4" applyNumberFormat="1" applyFont="1" applyFill="1" applyBorder="1" applyAlignment="1">
      <alignment vertical="center"/>
    </xf>
    <xf numFmtId="3" fontId="19" fillId="0" borderId="18" xfId="4" applyNumberFormat="1" applyFont="1" applyFill="1" applyBorder="1" applyAlignment="1">
      <alignment vertical="center"/>
    </xf>
    <xf numFmtId="40" fontId="19" fillId="0" borderId="18" xfId="4" applyNumberFormat="1" applyFont="1" applyFill="1" applyBorder="1" applyAlignment="1">
      <alignment vertical="center"/>
    </xf>
    <xf numFmtId="4" fontId="19" fillId="0" borderId="18" xfId="4" applyNumberFormat="1" applyFont="1" applyFill="1" applyBorder="1" applyAlignment="1">
      <alignment horizontal="center" vertical="center"/>
    </xf>
    <xf numFmtId="10" fontId="19" fillId="0" borderId="18" xfId="5" applyNumberFormat="1" applyFont="1" applyFill="1" applyBorder="1" applyAlignment="1">
      <alignment horizontal="center" vertical="center"/>
    </xf>
    <xf numFmtId="2" fontId="19" fillId="0" borderId="18" xfId="5" applyNumberFormat="1" applyFont="1" applyFill="1" applyBorder="1" applyAlignment="1">
      <alignment horizontal="center" vertical="center"/>
    </xf>
    <xf numFmtId="3" fontId="19" fillId="0" borderId="18" xfId="5" applyNumberFormat="1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 wrapText="1"/>
    </xf>
    <xf numFmtId="0" fontId="19" fillId="0" borderId="18" xfId="3" applyFont="1" applyFill="1" applyBorder="1" applyAlignment="1">
      <alignment horizontal="center" vertical="center" wrapText="1"/>
    </xf>
    <xf numFmtId="0" fontId="19" fillId="0" borderId="37" xfId="3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justify" vertical="center" wrapText="1"/>
    </xf>
    <xf numFmtId="0" fontId="38" fillId="0" borderId="0" xfId="3" applyFont="1" applyAlignment="1">
      <alignment vertical="center"/>
    </xf>
    <xf numFmtId="0" fontId="38" fillId="0" borderId="0" xfId="3" applyFont="1" applyFill="1" applyAlignment="1">
      <alignment vertical="center"/>
    </xf>
    <xf numFmtId="0" fontId="38" fillId="0" borderId="0" xfId="3" applyFont="1" applyAlignment="1">
      <alignment horizontal="center"/>
    </xf>
    <xf numFmtId="0" fontId="39" fillId="6" borderId="12" xfId="3" applyFont="1" applyFill="1" applyBorder="1" applyAlignment="1">
      <alignment horizontal="center" vertical="center"/>
    </xf>
    <xf numFmtId="3" fontId="33" fillId="6" borderId="10" xfId="4" applyNumberFormat="1" applyFont="1" applyFill="1" applyBorder="1" applyAlignment="1">
      <alignment vertical="center"/>
    </xf>
    <xf numFmtId="3" fontId="33" fillId="6" borderId="14" xfId="4" applyNumberFormat="1" applyFont="1" applyFill="1" applyBorder="1" applyAlignment="1">
      <alignment vertical="center"/>
    </xf>
    <xf numFmtId="40" fontId="33" fillId="6" borderId="14" xfId="4" applyNumberFormat="1" applyFont="1" applyFill="1" applyBorder="1" applyAlignment="1">
      <alignment vertical="center"/>
    </xf>
    <xf numFmtId="0" fontId="19" fillId="0" borderId="0" xfId="3" applyFont="1" applyBorder="1" applyAlignment="1">
      <alignment horizontal="center"/>
    </xf>
    <xf numFmtId="0" fontId="38" fillId="0" borderId="0" xfId="0" applyFont="1"/>
    <xf numFmtId="2" fontId="38" fillId="0" borderId="0" xfId="5" applyNumberFormat="1" applyFont="1" applyFill="1" applyBorder="1" applyAlignment="1">
      <alignment vertical="center"/>
    </xf>
    <xf numFmtId="0" fontId="38" fillId="0" borderId="0" xfId="3" applyFont="1" applyFill="1"/>
    <xf numFmtId="3" fontId="38" fillId="0" borderId="0" xfId="3" applyNumberFormat="1" applyFont="1"/>
    <xf numFmtId="40" fontId="38" fillId="0" borderId="0" xfId="3" applyNumberFormat="1" applyFont="1"/>
    <xf numFmtId="0" fontId="33" fillId="0" borderId="0" xfId="3" applyFont="1" applyAlignment="1">
      <alignment horizontal="left"/>
    </xf>
    <xf numFmtId="0" fontId="1" fillId="0" borderId="0" xfId="0" applyFont="1" applyAlignment="1">
      <alignment wrapText="1"/>
    </xf>
    <xf numFmtId="0" fontId="1" fillId="0" borderId="39" xfId="0" applyFont="1" applyBorder="1"/>
    <xf numFmtId="9" fontId="19" fillId="0" borderId="18" xfId="5" applyNumberFormat="1" applyFont="1" applyFill="1" applyBorder="1" applyAlignment="1">
      <alignment horizontal="center" vertical="center"/>
    </xf>
    <xf numFmtId="0" fontId="19" fillId="0" borderId="16" xfId="3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/>
    </xf>
    <xf numFmtId="3" fontId="22" fillId="0" borderId="29" xfId="1" applyNumberFormat="1" applyFont="1" applyFill="1" applyBorder="1" applyAlignment="1">
      <alignment vertical="center"/>
    </xf>
    <xf numFmtId="164" fontId="29" fillId="0" borderId="41" xfId="1" applyNumberFormat="1" applyFont="1" applyFill="1" applyBorder="1" applyAlignment="1">
      <alignment vertical="center"/>
    </xf>
    <xf numFmtId="0" fontId="0" fillId="0" borderId="0" xfId="0" applyFill="1" applyAlignment="1"/>
    <xf numFmtId="0" fontId="32" fillId="0" borderId="0" xfId="0" applyFont="1" applyFill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horizontal="center"/>
    </xf>
    <xf numFmtId="10" fontId="19" fillId="0" borderId="18" xfId="5" applyNumberFormat="1" applyFont="1" applyFill="1" applyBorder="1" applyAlignment="1">
      <alignment horizontal="center" vertical="center" wrapText="1"/>
    </xf>
    <xf numFmtId="165" fontId="41" fillId="0" borderId="21" xfId="2" applyNumberFormat="1" applyFont="1" applyBorder="1" applyAlignment="1"/>
    <xf numFmtId="165" fontId="41" fillId="0" borderId="27" xfId="2" applyNumberFormat="1" applyFont="1" applyBorder="1" applyAlignment="1"/>
    <xf numFmtId="165" fontId="41" fillId="0" borderId="30" xfId="2" applyNumberFormat="1" applyFont="1" applyBorder="1" applyAlignment="1"/>
    <xf numFmtId="0" fontId="0" fillId="0" borderId="0" xfId="0" applyAlignment="1">
      <alignment vertical="top"/>
    </xf>
    <xf numFmtId="0" fontId="21" fillId="0" borderId="0" xfId="0" applyFont="1" applyAlignment="1">
      <alignment horizontal="center" vertical="top"/>
    </xf>
    <xf numFmtId="43" fontId="21" fillId="0" borderId="0" xfId="0" applyNumberFormat="1" applyFont="1" applyAlignment="1">
      <alignment vertical="top"/>
    </xf>
    <xf numFmtId="43" fontId="21" fillId="0" borderId="0" xfId="1" applyFont="1" applyAlignment="1">
      <alignment vertical="top"/>
    </xf>
    <xf numFmtId="0" fontId="0" fillId="0" borderId="0" xfId="0" applyAlignment="1">
      <alignment horizontal="center" vertical="top"/>
    </xf>
    <xf numFmtId="3" fontId="19" fillId="0" borderId="0" xfId="3" applyNumberFormat="1" applyFont="1" applyFill="1" applyBorder="1" applyAlignment="1">
      <alignment horizontal="center" vertical="center" wrapText="1"/>
    </xf>
    <xf numFmtId="3" fontId="19" fillId="0" borderId="39" xfId="3" applyNumberFormat="1" applyFont="1" applyFill="1" applyBorder="1" applyAlignment="1">
      <alignment horizontal="center" vertical="center" wrapText="1"/>
    </xf>
    <xf numFmtId="43" fontId="29" fillId="0" borderId="33" xfId="1" applyNumberFormat="1" applyFont="1" applyFill="1" applyBorder="1" applyAlignment="1">
      <alignment vertical="center"/>
    </xf>
    <xf numFmtId="164" fontId="23" fillId="0" borderId="4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5" fontId="7" fillId="0" borderId="52" xfId="2" applyNumberFormat="1" applyFont="1" applyBorder="1" applyAlignment="1"/>
    <xf numFmtId="0" fontId="0" fillId="0" borderId="0" xfId="0" applyBorder="1" applyAlignment="1"/>
    <xf numFmtId="165" fontId="7" fillId="0" borderId="54" xfId="2" applyNumberFormat="1" applyFont="1" applyBorder="1" applyAlignment="1"/>
    <xf numFmtId="165" fontId="7" fillId="0" borderId="57" xfId="0" applyNumberFormat="1" applyFont="1" applyBorder="1"/>
    <xf numFmtId="0" fontId="0" fillId="0" borderId="0" xfId="0" applyBorder="1"/>
    <xf numFmtId="49" fontId="45" fillId="0" borderId="0" xfId="0" applyNumberFormat="1" applyFont="1" applyAlignment="1"/>
    <xf numFmtId="0" fontId="0" fillId="0" borderId="0" xfId="0" applyBorder="1" applyAlignment="1">
      <alignment horizontal="center"/>
    </xf>
    <xf numFmtId="0" fontId="46" fillId="0" borderId="0" xfId="0" applyFont="1" applyFill="1" applyAlignment="1">
      <alignment vertical="center"/>
    </xf>
    <xf numFmtId="3" fontId="47" fillId="14" borderId="9" xfId="0" applyNumberFormat="1" applyFont="1" applyFill="1" applyBorder="1" applyAlignment="1">
      <alignment horizontal="center" vertical="center"/>
    </xf>
    <xf numFmtId="3" fontId="47" fillId="14" borderId="58" xfId="0" applyNumberFormat="1" applyFont="1" applyFill="1" applyBorder="1" applyAlignment="1">
      <alignment horizontal="center" vertical="center"/>
    </xf>
    <xf numFmtId="3" fontId="47" fillId="14" borderId="10" xfId="0" applyNumberFormat="1" applyFont="1" applyFill="1" applyBorder="1" applyAlignment="1">
      <alignment horizontal="center" vertical="center"/>
    </xf>
    <xf numFmtId="0" fontId="47" fillId="14" borderId="58" xfId="0" applyFont="1" applyFill="1" applyBorder="1" applyAlignment="1">
      <alignment horizontal="center" vertical="center"/>
    </xf>
    <xf numFmtId="0" fontId="47" fillId="14" borderId="8" xfId="0" applyFont="1" applyFill="1" applyBorder="1" applyAlignment="1">
      <alignment horizontal="center" vertical="center"/>
    </xf>
    <xf numFmtId="3" fontId="47" fillId="14" borderId="9" xfId="0" applyNumberFormat="1" applyFont="1" applyFill="1" applyBorder="1" applyAlignment="1">
      <alignment horizontal="center" vertical="center" wrapText="1"/>
    </xf>
    <xf numFmtId="3" fontId="35" fillId="14" borderId="10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 vertical="justify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48" fillId="6" borderId="59" xfId="0" applyFont="1" applyFill="1" applyBorder="1" applyAlignment="1">
      <alignment horizontal="center" vertical="center" wrapText="1"/>
    </xf>
    <xf numFmtId="0" fontId="48" fillId="6" borderId="60" xfId="0" applyFont="1" applyFill="1" applyBorder="1" applyAlignment="1">
      <alignment horizontal="center" vertical="center" wrapText="1"/>
    </xf>
    <xf numFmtId="3" fontId="48" fillId="6" borderId="60" xfId="0" applyNumberFormat="1" applyFont="1" applyFill="1" applyBorder="1" applyAlignment="1">
      <alignment horizontal="center" vertical="center" wrapText="1"/>
    </xf>
    <xf numFmtId="0" fontId="48" fillId="6" borderId="6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15" fontId="19" fillId="0" borderId="36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49" fontId="19" fillId="13" borderId="36" xfId="0" applyNumberFormat="1" applyFont="1" applyFill="1" applyBorder="1" applyAlignment="1">
      <alignment horizontal="center" vertical="center"/>
    </xf>
    <xf numFmtId="0" fontId="19" fillId="13" borderId="36" xfId="0" applyFont="1" applyFill="1" applyBorder="1" applyAlignment="1">
      <alignment horizontal="justify" vertical="center" wrapText="1"/>
    </xf>
    <xf numFmtId="3" fontId="33" fillId="0" borderId="36" xfId="4" applyNumberFormat="1" applyFont="1" applyFill="1" applyBorder="1" applyAlignment="1">
      <alignment vertical="center"/>
    </xf>
    <xf numFmtId="3" fontId="33" fillId="13" borderId="36" xfId="4" applyNumberFormat="1" applyFont="1" applyFill="1" applyBorder="1" applyAlignment="1">
      <alignment vertical="center"/>
    </xf>
    <xf numFmtId="3" fontId="33" fillId="0" borderId="20" xfId="8" applyNumberFormat="1" applyFont="1" applyFill="1" applyBorder="1" applyAlignment="1">
      <alignment vertical="center"/>
    </xf>
    <xf numFmtId="3" fontId="33" fillId="0" borderId="38" xfId="8" applyNumberFormat="1" applyFont="1" applyFill="1" applyBorder="1" applyAlignment="1">
      <alignment vertical="center"/>
    </xf>
    <xf numFmtId="4" fontId="19" fillId="0" borderId="36" xfId="4" applyNumberFormat="1" applyFont="1" applyFill="1" applyBorder="1" applyAlignment="1">
      <alignment horizontal="center" vertical="center"/>
    </xf>
    <xf numFmtId="10" fontId="19" fillId="0" borderId="36" xfId="5" applyNumberFormat="1" applyFont="1" applyFill="1" applyBorder="1" applyAlignment="1">
      <alignment horizontal="center" vertical="center" wrapText="1"/>
    </xf>
    <xf numFmtId="2" fontId="19" fillId="0" borderId="36" xfId="5" applyNumberFormat="1" applyFont="1" applyFill="1" applyBorder="1" applyAlignment="1">
      <alignment horizontal="center" vertical="center"/>
    </xf>
    <xf numFmtId="49" fontId="19" fillId="0" borderId="36" xfId="5" applyNumberFormat="1" applyFont="1" applyFill="1" applyBorder="1" applyAlignment="1">
      <alignment horizontal="center" vertical="center"/>
    </xf>
    <xf numFmtId="3" fontId="33" fillId="0" borderId="18" xfId="8" applyNumberFormat="1" applyFont="1" applyFill="1" applyBorder="1" applyAlignment="1">
      <alignment vertical="center"/>
    </xf>
    <xf numFmtId="3" fontId="33" fillId="13" borderId="18" xfId="8" applyNumberFormat="1" applyFont="1" applyFill="1" applyBorder="1" applyAlignment="1">
      <alignment vertical="center"/>
    </xf>
    <xf numFmtId="3" fontId="33" fillId="13" borderId="18" xfId="4" applyNumberFormat="1" applyFont="1" applyFill="1" applyBorder="1" applyAlignment="1">
      <alignment vertical="center"/>
    </xf>
    <xf numFmtId="164" fontId="51" fillId="0" borderId="0" xfId="4" applyNumberFormat="1" applyFont="1" applyFill="1" applyBorder="1" applyAlignment="1">
      <alignment vertical="center"/>
    </xf>
    <xf numFmtId="3" fontId="52" fillId="13" borderId="0" xfId="4" applyNumberFormat="1" applyFont="1" applyFill="1" applyBorder="1" applyAlignment="1">
      <alignment vertical="center"/>
    </xf>
    <xf numFmtId="3" fontId="51" fillId="0" borderId="0" xfId="8" applyNumberFormat="1" applyFont="1" applyFill="1" applyBorder="1" applyAlignment="1">
      <alignment vertical="center"/>
    </xf>
    <xf numFmtId="3" fontId="50" fillId="0" borderId="64" xfId="8" applyNumberFormat="1" applyFont="1" applyFill="1" applyBorder="1" applyAlignment="1">
      <alignment vertical="center"/>
    </xf>
    <xf numFmtId="3" fontId="52" fillId="0" borderId="0" xfId="8" applyNumberFormat="1" applyFont="1" applyFill="1" applyBorder="1" applyAlignment="1">
      <alignment vertical="center"/>
    </xf>
    <xf numFmtId="4" fontId="52" fillId="0" borderId="0" xfId="8" applyNumberFormat="1" applyFont="1" applyFill="1" applyBorder="1" applyAlignment="1">
      <alignment vertical="center"/>
    </xf>
    <xf numFmtId="164" fontId="52" fillId="0" borderId="0" xfId="8" applyNumberFormat="1" applyFont="1" applyFill="1" applyBorder="1" applyAlignment="1">
      <alignment horizontal="center" vertical="center"/>
    </xf>
    <xf numFmtId="4" fontId="52" fillId="0" borderId="0" xfId="8" applyNumberFormat="1" applyFont="1" applyFill="1" applyBorder="1" applyAlignment="1">
      <alignment horizontal="center" vertical="center"/>
    </xf>
    <xf numFmtId="10" fontId="52" fillId="0" borderId="0" xfId="9" applyNumberFormat="1" applyFont="1" applyFill="1" applyBorder="1" applyAlignment="1">
      <alignment vertical="center"/>
    </xf>
    <xf numFmtId="10" fontId="52" fillId="0" borderId="0" xfId="5" applyNumberFormat="1" applyFont="1" applyFill="1" applyBorder="1" applyAlignment="1">
      <alignment horizontal="center" vertical="center" wrapText="1"/>
    </xf>
    <xf numFmtId="2" fontId="52" fillId="0" borderId="0" xfId="5" applyNumberFormat="1" applyFont="1" applyFill="1" applyBorder="1" applyAlignment="1">
      <alignment horizontal="center" vertical="center"/>
    </xf>
    <xf numFmtId="3" fontId="52" fillId="0" borderId="0" xfId="5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/>
    <xf numFmtId="0" fontId="52" fillId="0" borderId="0" xfId="0" applyFont="1" applyFill="1" applyBorder="1" applyAlignment="1">
      <alignment horizontal="center" vertical="center"/>
    </xf>
    <xf numFmtId="15" fontId="52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4" fillId="6" borderId="12" xfId="3" applyFont="1" applyFill="1" applyBorder="1" applyAlignment="1">
      <alignment horizontal="center" vertical="center"/>
    </xf>
    <xf numFmtId="164" fontId="51" fillId="6" borderId="10" xfId="1" applyNumberFormat="1" applyFont="1" applyFill="1" applyBorder="1" applyAlignment="1">
      <alignment vertical="center"/>
    </xf>
    <xf numFmtId="43" fontId="51" fillId="6" borderId="10" xfId="1" applyFont="1" applyFill="1" applyBorder="1" applyAlignment="1">
      <alignment vertical="center"/>
    </xf>
    <xf numFmtId="43" fontId="52" fillId="0" borderId="0" xfId="9" applyNumberFormat="1" applyFont="1" applyFill="1" applyBorder="1" applyAlignment="1">
      <alignment vertical="center"/>
    </xf>
    <xf numFmtId="43" fontId="52" fillId="0" borderId="0" xfId="5" applyNumberFormat="1" applyFont="1" applyFill="1" applyBorder="1" applyAlignment="1">
      <alignment horizontal="center" vertical="center" wrapText="1"/>
    </xf>
    <xf numFmtId="0" fontId="51" fillId="0" borderId="0" xfId="3" applyFont="1" applyAlignment="1">
      <alignment horizontal="left"/>
    </xf>
    <xf numFmtId="4" fontId="53" fillId="0" borderId="0" xfId="0" applyNumberFormat="1" applyFont="1"/>
    <xf numFmtId="43" fontId="53" fillId="0" borderId="0" xfId="0" applyNumberFormat="1" applyFont="1"/>
    <xf numFmtId="2" fontId="53" fillId="0" borderId="0" xfId="0" applyNumberFormat="1" applyFont="1"/>
    <xf numFmtId="9" fontId="19" fillId="0" borderId="36" xfId="9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55" fillId="0" borderId="0" xfId="3" applyFont="1" applyAlignment="1">
      <alignment vertical="center"/>
    </xf>
    <xf numFmtId="0" fontId="0" fillId="0" borderId="0" xfId="0" applyBorder="1" applyAlignment="1">
      <alignment horizontal="center" vertical="justify" wrapText="1"/>
    </xf>
    <xf numFmtId="0" fontId="55" fillId="0" borderId="0" xfId="3" applyFont="1"/>
    <xf numFmtId="0" fontId="55" fillId="0" borderId="0" xfId="7" applyFont="1"/>
    <xf numFmtId="0" fontId="55" fillId="0" borderId="0" xfId="3" applyFont="1" applyAlignment="1">
      <alignment horizontal="center"/>
    </xf>
    <xf numFmtId="164" fontId="0" fillId="0" borderId="0" xfId="0" applyNumberFormat="1"/>
    <xf numFmtId="0" fontId="19" fillId="0" borderId="18" xfId="7" applyFont="1" applyFill="1" applyBorder="1" applyAlignment="1">
      <alignment horizontal="center" vertical="center" wrapText="1"/>
    </xf>
    <xf numFmtId="14" fontId="57" fillId="0" borderId="18" xfId="3" applyNumberFormat="1" applyFont="1" applyFill="1" applyBorder="1" applyAlignment="1">
      <alignment horizontal="center" vertical="center" wrapText="1"/>
    </xf>
    <xf numFmtId="0" fontId="57" fillId="0" borderId="18" xfId="3" applyFont="1" applyFill="1" applyBorder="1" applyAlignment="1">
      <alignment horizontal="center" vertical="center" wrapText="1"/>
    </xf>
    <xf numFmtId="0" fontId="19" fillId="13" borderId="18" xfId="7" applyFont="1" applyFill="1" applyBorder="1" applyAlignment="1">
      <alignment horizontal="justify" vertical="center" wrapText="1"/>
    </xf>
    <xf numFmtId="40" fontId="36" fillId="0" borderId="18" xfId="3" applyNumberFormat="1" applyFont="1" applyFill="1" applyBorder="1" applyAlignment="1">
      <alignment horizontal="center" vertical="center" wrapText="1"/>
    </xf>
    <xf numFmtId="3" fontId="36" fillId="0" borderId="18" xfId="3" applyNumberFormat="1" applyFont="1" applyFill="1" applyBorder="1" applyAlignment="1">
      <alignment horizontal="center" vertical="center" wrapText="1"/>
    </xf>
    <xf numFmtId="0" fontId="19" fillId="0" borderId="18" xfId="3" applyFont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center" vertical="center" wrapText="1"/>
    </xf>
    <xf numFmtId="14" fontId="57" fillId="0" borderId="0" xfId="3" applyNumberFormat="1" applyFont="1" applyFill="1" applyBorder="1" applyAlignment="1">
      <alignment horizontal="center" vertical="center" wrapText="1"/>
    </xf>
    <xf numFmtId="0" fontId="57" fillId="0" borderId="0" xfId="3" applyFont="1" applyFill="1" applyBorder="1" applyAlignment="1">
      <alignment horizontal="center" vertical="center" wrapText="1"/>
    </xf>
    <xf numFmtId="0" fontId="19" fillId="13" borderId="0" xfId="7" applyFont="1" applyFill="1" applyBorder="1" applyAlignment="1">
      <alignment horizontal="justify" vertical="center" wrapText="1"/>
    </xf>
    <xf numFmtId="3" fontId="33" fillId="0" borderId="0" xfId="4" applyNumberFormat="1" applyFont="1" applyFill="1" applyBorder="1" applyAlignment="1">
      <alignment vertical="center"/>
    </xf>
    <xf numFmtId="3" fontId="19" fillId="0" borderId="0" xfId="4" applyNumberFormat="1" applyFont="1" applyFill="1" applyBorder="1" applyAlignment="1">
      <alignment vertical="center"/>
    </xf>
    <xf numFmtId="3" fontId="36" fillId="0" borderId="0" xfId="3" applyNumberFormat="1" applyFont="1" applyFill="1" applyBorder="1" applyAlignment="1">
      <alignment horizontal="center" vertical="center" wrapText="1"/>
    </xf>
    <xf numFmtId="2" fontId="19" fillId="0" borderId="0" xfId="5" applyNumberFormat="1" applyFont="1" applyFill="1" applyBorder="1" applyAlignment="1">
      <alignment horizontal="center" vertical="center"/>
    </xf>
    <xf numFmtId="10" fontId="19" fillId="0" borderId="0" xfId="5" applyNumberFormat="1" applyFont="1" applyFill="1" applyBorder="1" applyAlignment="1">
      <alignment vertical="center"/>
    </xf>
    <xf numFmtId="10" fontId="19" fillId="13" borderId="0" xfId="5" applyNumberFormat="1" applyFont="1" applyFill="1" applyBorder="1" applyAlignment="1">
      <alignment vertical="center"/>
    </xf>
    <xf numFmtId="10" fontId="19" fillId="0" borderId="0" xfId="5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4" fontId="38" fillId="0" borderId="0" xfId="3" applyNumberFormat="1" applyFont="1"/>
    <xf numFmtId="0" fontId="0" fillId="0" borderId="0" xfId="0" applyAlignment="1">
      <alignment horizontal="center"/>
    </xf>
    <xf numFmtId="43" fontId="15" fillId="0" borderId="0" xfId="1" applyFont="1"/>
    <xf numFmtId="43" fontId="15" fillId="0" borderId="0" xfId="1" applyFont="1" applyAlignment="1">
      <alignment horizontal="center" vertical="center"/>
    </xf>
    <xf numFmtId="0" fontId="57" fillId="0" borderId="20" xfId="3" applyFont="1" applyFill="1" applyBorder="1" applyAlignment="1">
      <alignment horizontal="center" vertical="center" wrapText="1"/>
    </xf>
    <xf numFmtId="0" fontId="19" fillId="13" borderId="20" xfId="7" applyFont="1" applyFill="1" applyBorder="1" applyAlignment="1">
      <alignment horizontal="justify" vertical="center" wrapText="1"/>
    </xf>
    <xf numFmtId="3" fontId="33" fillId="0" borderId="20" xfId="4" applyNumberFormat="1" applyFont="1" applyFill="1" applyBorder="1" applyAlignment="1">
      <alignment vertical="center"/>
    </xf>
    <xf numFmtId="3" fontId="19" fillId="0" borderId="20" xfId="4" applyNumberFormat="1" applyFont="1" applyFill="1" applyBorder="1" applyAlignment="1">
      <alignment vertical="center"/>
    </xf>
    <xf numFmtId="40" fontId="36" fillId="0" borderId="20" xfId="3" applyNumberFormat="1" applyFont="1" applyFill="1" applyBorder="1" applyAlignment="1">
      <alignment horizontal="center" vertical="center" wrapText="1"/>
    </xf>
    <xf numFmtId="3" fontId="36" fillId="0" borderId="20" xfId="3" applyNumberFormat="1" applyFont="1" applyFill="1" applyBorder="1" applyAlignment="1">
      <alignment horizontal="center" vertical="center" wrapText="1"/>
    </xf>
    <xf numFmtId="2" fontId="19" fillId="0" borderId="20" xfId="5" applyNumberFormat="1" applyFont="1" applyFill="1" applyBorder="1" applyAlignment="1">
      <alignment horizontal="center" vertical="center"/>
    </xf>
    <xf numFmtId="0" fontId="19" fillId="0" borderId="20" xfId="3" applyFont="1" applyBorder="1" applyAlignment="1">
      <alignment horizontal="center" vertical="center" wrapText="1"/>
    </xf>
    <xf numFmtId="0" fontId="57" fillId="13" borderId="18" xfId="3" applyFont="1" applyFill="1" applyBorder="1" applyAlignment="1">
      <alignment horizontal="center" vertical="center" wrapText="1"/>
    </xf>
    <xf numFmtId="3" fontId="19" fillId="13" borderId="18" xfId="4" applyNumberFormat="1" applyFont="1" applyFill="1" applyBorder="1" applyAlignment="1">
      <alignment vertical="center"/>
    </xf>
    <xf numFmtId="40" fontId="36" fillId="13" borderId="18" xfId="3" applyNumberFormat="1" applyFont="1" applyFill="1" applyBorder="1" applyAlignment="1">
      <alignment horizontal="center" vertical="center" wrapText="1"/>
    </xf>
    <xf numFmtId="3" fontId="36" fillId="13" borderId="18" xfId="3" applyNumberFormat="1" applyFont="1" applyFill="1" applyBorder="1" applyAlignment="1">
      <alignment horizontal="center" vertical="center" wrapText="1"/>
    </xf>
    <xf numFmtId="10" fontId="19" fillId="13" borderId="18" xfId="5" applyNumberFormat="1" applyFont="1" applyFill="1" applyBorder="1" applyAlignment="1">
      <alignment horizontal="center" vertical="center" wrapText="1"/>
    </xf>
    <xf numFmtId="0" fontId="19" fillId="13" borderId="18" xfId="3" applyFont="1" applyFill="1" applyBorder="1" applyAlignment="1">
      <alignment horizontal="center" vertical="center" wrapText="1"/>
    </xf>
    <xf numFmtId="2" fontId="19" fillId="13" borderId="18" xfId="5" applyNumberFormat="1" applyFont="1" applyFill="1" applyBorder="1" applyAlignment="1">
      <alignment horizontal="center" vertical="center"/>
    </xf>
    <xf numFmtId="167" fontId="36" fillId="0" borderId="18" xfId="3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49" fontId="19" fillId="0" borderId="36" xfId="0" applyNumberFormat="1" applyFont="1" applyFill="1" applyBorder="1" applyAlignment="1">
      <alignment horizontal="center" vertical="center"/>
    </xf>
    <xf numFmtId="0" fontId="59" fillId="0" borderId="0" xfId="3" applyFont="1" applyAlignment="1">
      <alignment horizontal="right"/>
    </xf>
    <xf numFmtId="164" fontId="22" fillId="0" borderId="18" xfId="1" applyNumberFormat="1" applyFont="1" applyFill="1" applyBorder="1" applyAlignment="1">
      <alignment vertical="center"/>
    </xf>
    <xf numFmtId="164" fontId="22" fillId="0" borderId="29" xfId="1" applyNumberFormat="1" applyFont="1" applyFill="1" applyBorder="1" applyAlignment="1">
      <alignment vertical="center"/>
    </xf>
    <xf numFmtId="3" fontId="23" fillId="0" borderId="35" xfId="1" applyNumberFormat="1" applyFont="1" applyBorder="1" applyAlignment="1">
      <alignment vertical="center"/>
    </xf>
    <xf numFmtId="3" fontId="23" fillId="0" borderId="0" xfId="1" applyNumberFormat="1" applyFont="1" applyBorder="1" applyAlignment="1">
      <alignment vertical="center"/>
    </xf>
    <xf numFmtId="164" fontId="23" fillId="0" borderId="0" xfId="1" applyNumberFormat="1" applyFont="1" applyFill="1" applyBorder="1" applyAlignment="1">
      <alignment vertical="center"/>
    </xf>
    <xf numFmtId="8" fontId="0" fillId="0" borderId="0" xfId="0" applyNumberFormat="1"/>
    <xf numFmtId="3" fontId="23" fillId="0" borderId="35" xfId="1" applyNumberFormat="1" applyFont="1" applyFill="1" applyBorder="1" applyAlignment="1">
      <alignment vertical="center"/>
    </xf>
    <xf numFmtId="165" fontId="7" fillId="0" borderId="0" xfId="2" applyNumberFormat="1" applyFont="1" applyBorder="1" applyAlignment="1"/>
    <xf numFmtId="165" fontId="7" fillId="0" borderId="0" xfId="0" applyNumberFormat="1" applyFont="1" applyBorder="1"/>
    <xf numFmtId="0" fontId="56" fillId="0" borderId="18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/>
    <xf numFmtId="49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61" fillId="0" borderId="0" xfId="0" applyFont="1"/>
    <xf numFmtId="0" fontId="19" fillId="0" borderId="20" xfId="7" applyFont="1" applyFill="1" applyBorder="1" applyAlignment="1">
      <alignment horizontal="center" vertical="center" wrapText="1"/>
    </xf>
    <xf numFmtId="10" fontId="19" fillId="0" borderId="20" xfId="5" applyNumberFormat="1" applyFont="1" applyFill="1" applyBorder="1" applyAlignment="1">
      <alignment horizontal="center" vertical="center" wrapText="1"/>
    </xf>
    <xf numFmtId="0" fontId="19" fillId="13" borderId="18" xfId="7" applyFont="1" applyFill="1" applyBorder="1" applyAlignment="1">
      <alignment horizontal="center" vertical="center" wrapText="1"/>
    </xf>
    <xf numFmtId="14" fontId="57" fillId="13" borderId="18" xfId="3" applyNumberFormat="1" applyFont="1" applyFill="1" applyBorder="1" applyAlignment="1">
      <alignment horizontal="center" vertical="center" wrapText="1"/>
    </xf>
    <xf numFmtId="0" fontId="1" fillId="13" borderId="0" xfId="0" applyFont="1" applyFill="1"/>
    <xf numFmtId="0" fontId="38" fillId="0" borderId="0" xfId="7" applyFont="1"/>
    <xf numFmtId="0" fontId="54" fillId="0" borderId="0" xfId="3" applyFont="1" applyFill="1" applyBorder="1" applyAlignment="1">
      <alignment horizontal="center" vertical="center"/>
    </xf>
    <xf numFmtId="164" fontId="51" fillId="0" borderId="0" xfId="1" applyNumberFormat="1" applyFont="1" applyFill="1" applyBorder="1" applyAlignment="1">
      <alignment vertical="center"/>
    </xf>
    <xf numFmtId="43" fontId="51" fillId="0" borderId="0" xfId="1" applyFont="1" applyFill="1" applyBorder="1" applyAlignment="1">
      <alignment vertical="center"/>
    </xf>
    <xf numFmtId="164" fontId="22" fillId="0" borderId="77" xfId="1" applyNumberFormat="1" applyFont="1" applyFill="1" applyBorder="1" applyAlignment="1">
      <alignment vertical="center"/>
    </xf>
    <xf numFmtId="164" fontId="22" fillId="0" borderId="20" xfId="1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3" fillId="0" borderId="18" xfId="1" applyNumberFormat="1" applyFont="1" applyBorder="1" applyAlignment="1">
      <alignment horizontal="center"/>
    </xf>
    <xf numFmtId="3" fontId="23" fillId="0" borderId="0" xfId="1" applyNumberFormat="1" applyFont="1" applyFill="1" applyBorder="1" applyAlignment="1"/>
    <xf numFmtId="0" fontId="62" fillId="6" borderId="45" xfId="0" applyFont="1" applyFill="1" applyBorder="1" applyAlignment="1">
      <alignment horizontal="center" vertical="center" wrapText="1"/>
    </xf>
    <xf numFmtId="0" fontId="63" fillId="6" borderId="46" xfId="3" applyFont="1" applyFill="1" applyBorder="1" applyAlignment="1">
      <alignment horizontal="center" vertical="center" wrapText="1"/>
    </xf>
    <xf numFmtId="0" fontId="48" fillId="6" borderId="47" xfId="0" applyFont="1" applyFill="1" applyBorder="1" applyAlignment="1">
      <alignment horizontal="center" vertical="center" wrapText="1"/>
    </xf>
    <xf numFmtId="0" fontId="48" fillId="6" borderId="48" xfId="0" applyFont="1" applyFill="1" applyBorder="1" applyAlignment="1">
      <alignment horizontal="center" vertical="center" wrapText="1"/>
    </xf>
    <xf numFmtId="0" fontId="48" fillId="6" borderId="49" xfId="0" applyFont="1" applyFill="1" applyBorder="1" applyAlignment="1">
      <alignment horizontal="center" vertical="center" wrapText="1"/>
    </xf>
    <xf numFmtId="3" fontId="64" fillId="0" borderId="0" xfId="3" applyNumberFormat="1" applyFont="1"/>
    <xf numFmtId="0" fontId="46" fillId="0" borderId="0" xfId="3" applyFont="1"/>
    <xf numFmtId="0" fontId="46" fillId="0" borderId="0" xfId="7" applyFont="1"/>
    <xf numFmtId="2" fontId="46" fillId="0" borderId="0" xfId="5" applyNumberFormat="1" applyFont="1" applyFill="1" applyBorder="1" applyAlignment="1">
      <alignment vertical="center"/>
    </xf>
    <xf numFmtId="0" fontId="46" fillId="0" borderId="0" xfId="3" applyFont="1" applyAlignment="1">
      <alignment horizontal="center"/>
    </xf>
    <xf numFmtId="0" fontId="64" fillId="0" borderId="0" xfId="3" applyFont="1" applyFill="1" applyBorder="1" applyAlignment="1">
      <alignment horizontal="left" vertical="center"/>
    </xf>
    <xf numFmtId="3" fontId="46" fillId="0" borderId="0" xfId="3" applyNumberFormat="1" applyFont="1"/>
    <xf numFmtId="40" fontId="46" fillId="0" borderId="0" xfId="3" applyNumberFormat="1" applyFont="1"/>
    <xf numFmtId="43" fontId="0" fillId="0" borderId="0" xfId="0" applyNumberFormat="1" applyAlignment="1">
      <alignment vertical="top"/>
    </xf>
    <xf numFmtId="4" fontId="0" fillId="0" borderId="0" xfId="0" applyNumberFormat="1"/>
    <xf numFmtId="3" fontId="19" fillId="13" borderId="36" xfId="4" applyNumberFormat="1" applyFont="1" applyFill="1" applyBorder="1" applyAlignment="1">
      <alignment vertical="center"/>
    </xf>
    <xf numFmtId="0" fontId="38" fillId="13" borderId="0" xfId="3" applyFont="1" applyFill="1"/>
    <xf numFmtId="3" fontId="19" fillId="0" borderId="36" xfId="4" applyNumberFormat="1" applyFont="1" applyFill="1" applyBorder="1" applyAlignment="1">
      <alignment vertical="center"/>
    </xf>
    <xf numFmtId="3" fontId="33" fillId="13" borderId="0" xfId="4" applyNumberFormat="1" applyFont="1" applyFill="1" applyBorder="1" applyAlignment="1">
      <alignment vertical="center"/>
    </xf>
    <xf numFmtId="40" fontId="36" fillId="0" borderId="0" xfId="3" applyNumberFormat="1" applyFont="1" applyFill="1" applyBorder="1" applyAlignment="1">
      <alignment horizontal="center" vertical="center" wrapText="1"/>
    </xf>
    <xf numFmtId="9" fontId="19" fillId="13" borderId="18" xfId="5" applyNumberFormat="1" applyFont="1" applyFill="1" applyBorder="1" applyAlignment="1">
      <alignment horizontal="center" vertical="center"/>
    </xf>
    <xf numFmtId="9" fontId="19" fillId="0" borderId="20" xfId="5" applyNumberFormat="1" applyFont="1" applyFill="1" applyBorder="1" applyAlignment="1">
      <alignment horizontal="center" vertical="center"/>
    </xf>
    <xf numFmtId="9" fontId="19" fillId="13" borderId="20" xfId="5" applyNumberFormat="1" applyFont="1" applyFill="1" applyBorder="1" applyAlignment="1">
      <alignment horizontal="center" vertical="center"/>
    </xf>
    <xf numFmtId="10" fontId="19" fillId="0" borderId="18" xfId="5" applyNumberFormat="1" applyFont="1" applyFill="1" applyBorder="1" applyAlignment="1">
      <alignment vertical="center"/>
    </xf>
    <xf numFmtId="10" fontId="19" fillId="13" borderId="18" xfId="5" applyNumberFormat="1" applyFont="1" applyFill="1" applyBorder="1" applyAlignment="1">
      <alignment vertical="center"/>
    </xf>
    <xf numFmtId="14" fontId="57" fillId="0" borderId="78" xfId="3" applyNumberFormat="1" applyFont="1" applyFill="1" applyBorder="1" applyAlignment="1">
      <alignment horizontal="center" vertical="center" wrapText="1"/>
    </xf>
    <xf numFmtId="14" fontId="57" fillId="0" borderId="38" xfId="3" applyNumberFormat="1" applyFont="1" applyFill="1" applyBorder="1" applyAlignment="1">
      <alignment horizontal="center" vertical="center" wrapText="1"/>
    </xf>
    <xf numFmtId="3" fontId="36" fillId="15" borderId="18" xfId="3" applyNumberFormat="1" applyFont="1" applyFill="1" applyBorder="1" applyAlignment="1">
      <alignment horizontal="center" vertical="center" wrapText="1"/>
    </xf>
    <xf numFmtId="9" fontId="19" fillId="0" borderId="18" xfId="5" applyNumberFormat="1" applyFont="1" applyFill="1" applyBorder="1" applyAlignment="1">
      <alignment vertical="center"/>
    </xf>
    <xf numFmtId="9" fontId="19" fillId="0" borderId="18" xfId="9" applyNumberFormat="1" applyFont="1" applyFill="1" applyBorder="1" applyAlignment="1">
      <alignment horizontal="center" vertical="center"/>
    </xf>
    <xf numFmtId="49" fontId="58" fillId="0" borderId="0" xfId="0" applyNumberFormat="1" applyFont="1" applyAlignment="1">
      <alignment horizontal="right"/>
    </xf>
    <xf numFmtId="0" fontId="19" fillId="0" borderId="79" xfId="0" applyFont="1" applyFill="1" applyBorder="1" applyAlignment="1">
      <alignment horizontal="center" vertical="center" wrapText="1"/>
    </xf>
    <xf numFmtId="15" fontId="1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justify" vertical="center"/>
    </xf>
    <xf numFmtId="3" fontId="33" fillId="0" borderId="15" xfId="4" applyNumberFormat="1" applyFont="1" applyFill="1" applyBorder="1" applyAlignment="1">
      <alignment vertical="center"/>
    </xf>
    <xf numFmtId="3" fontId="19" fillId="0" borderId="15" xfId="4" applyNumberFormat="1" applyFont="1" applyFill="1" applyBorder="1" applyAlignment="1">
      <alignment vertical="center"/>
    </xf>
    <xf numFmtId="40" fontId="19" fillId="0" borderId="15" xfId="4" applyNumberFormat="1" applyFont="1" applyFill="1" applyBorder="1" applyAlignment="1">
      <alignment vertical="center"/>
    </xf>
    <xf numFmtId="4" fontId="19" fillId="0" borderId="15" xfId="4" applyNumberFormat="1" applyFont="1" applyFill="1" applyBorder="1" applyAlignment="1">
      <alignment horizontal="center" vertical="center"/>
    </xf>
    <xf numFmtId="9" fontId="19" fillId="0" borderId="15" xfId="5" applyNumberFormat="1" applyFont="1" applyFill="1" applyBorder="1" applyAlignment="1">
      <alignment horizontal="center" vertical="center"/>
    </xf>
    <xf numFmtId="10" fontId="19" fillId="0" borderId="15" xfId="5" applyNumberFormat="1" applyFont="1" applyFill="1" applyBorder="1" applyAlignment="1">
      <alignment horizontal="center" vertical="center"/>
    </xf>
    <xf numFmtId="2" fontId="19" fillId="0" borderId="15" xfId="5" applyNumberFormat="1" applyFont="1" applyFill="1" applyBorder="1" applyAlignment="1">
      <alignment horizontal="center" vertical="center"/>
    </xf>
    <xf numFmtId="3" fontId="19" fillId="0" borderId="15" xfId="5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15" fontId="19" fillId="0" borderId="29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justify" vertical="center" wrapText="1"/>
    </xf>
    <xf numFmtId="3" fontId="33" fillId="0" borderId="29" xfId="4" applyNumberFormat="1" applyFont="1" applyFill="1" applyBorder="1" applyAlignment="1">
      <alignment vertical="center"/>
    </xf>
    <xf numFmtId="3" fontId="19" fillId="0" borderId="29" xfId="4" applyNumberFormat="1" applyFont="1" applyFill="1" applyBorder="1" applyAlignment="1">
      <alignment vertical="center"/>
    </xf>
    <xf numFmtId="40" fontId="19" fillId="0" borderId="29" xfId="4" applyNumberFormat="1" applyFont="1" applyFill="1" applyBorder="1" applyAlignment="1">
      <alignment vertical="center"/>
    </xf>
    <xf numFmtId="4" fontId="19" fillId="0" borderId="29" xfId="4" applyNumberFormat="1" applyFont="1" applyFill="1" applyBorder="1" applyAlignment="1">
      <alignment horizontal="center" vertical="center"/>
    </xf>
    <xf numFmtId="9" fontId="19" fillId="0" borderId="29" xfId="5" applyNumberFormat="1" applyFont="1" applyFill="1" applyBorder="1" applyAlignment="1">
      <alignment horizontal="center" vertical="center"/>
    </xf>
    <xf numFmtId="10" fontId="19" fillId="0" borderId="29" xfId="5" applyNumberFormat="1" applyFont="1" applyFill="1" applyBorder="1" applyAlignment="1">
      <alignment horizontal="center" vertical="center"/>
    </xf>
    <xf numFmtId="2" fontId="19" fillId="0" borderId="29" xfId="5" applyNumberFormat="1" applyFont="1" applyFill="1" applyBorder="1" applyAlignment="1">
      <alignment horizontal="center" vertical="center"/>
    </xf>
    <xf numFmtId="3" fontId="19" fillId="0" borderId="29" xfId="5" applyNumberFormat="1" applyFont="1" applyFill="1" applyBorder="1" applyAlignment="1">
      <alignment horizontal="center" vertical="center"/>
    </xf>
    <xf numFmtId="0" fontId="19" fillId="0" borderId="29" xfId="3" applyFont="1" applyFill="1" applyBorder="1" applyAlignment="1">
      <alignment horizontal="center" vertical="center" wrapText="1"/>
    </xf>
    <xf numFmtId="0" fontId="19" fillId="0" borderId="30" xfId="3" applyFont="1" applyFill="1" applyBorder="1" applyAlignment="1">
      <alignment horizontal="center" vertical="center" wrapText="1"/>
    </xf>
    <xf numFmtId="3" fontId="38" fillId="0" borderId="0" xfId="3" applyNumberFormat="1" applyFont="1" applyAlignment="1">
      <alignment vertical="center"/>
    </xf>
    <xf numFmtId="40" fontId="38" fillId="0" borderId="0" xfId="3" applyNumberFormat="1" applyFont="1" applyAlignment="1">
      <alignment vertical="center"/>
    </xf>
    <xf numFmtId="4" fontId="38" fillId="0" borderId="0" xfId="3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3" fontId="22" fillId="4" borderId="18" xfId="1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3" fontId="23" fillId="0" borderId="0" xfId="1" applyNumberFormat="1" applyFont="1" applyBorder="1" applyAlignment="1">
      <alignment horizontal="center"/>
    </xf>
    <xf numFmtId="0" fontId="22" fillId="0" borderId="18" xfId="0" applyFont="1" applyBorder="1" applyAlignment="1">
      <alignment horizontal="right"/>
    </xf>
    <xf numFmtId="0" fontId="0" fillId="0" borderId="0" xfId="0" applyAlignment="1">
      <alignment horizontal="center"/>
    </xf>
    <xf numFmtId="0" fontId="36" fillId="6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3" fillId="0" borderId="0" xfId="1" applyNumberFormat="1" applyFont="1" applyBorder="1" applyAlignment="1">
      <alignment horizontal="center"/>
    </xf>
    <xf numFmtId="3" fontId="29" fillId="0" borderId="27" xfId="1" applyNumberFormat="1" applyFont="1" applyFill="1" applyBorder="1" applyAlignment="1">
      <alignment vertical="center"/>
    </xf>
    <xf numFmtId="3" fontId="23" fillId="0" borderId="18" xfId="1" applyNumberFormat="1" applyFont="1" applyFill="1" applyBorder="1"/>
    <xf numFmtId="3" fontId="23" fillId="0" borderId="18" xfId="1" applyNumberFormat="1" applyFont="1" applyBorder="1"/>
    <xf numFmtId="3" fontId="23" fillId="0" borderId="0" xfId="1" applyNumberFormat="1" applyFont="1" applyFill="1" applyBorder="1" applyAlignment="1">
      <alignment horizontal="right"/>
    </xf>
    <xf numFmtId="164" fontId="23" fillId="0" borderId="80" xfId="0" applyNumberFormat="1" applyFont="1" applyBorder="1"/>
    <xf numFmtId="3" fontId="23" fillId="0" borderId="18" xfId="0" applyNumberFormat="1" applyFont="1" applyBorder="1"/>
    <xf numFmtId="164" fontId="23" fillId="0" borderId="18" xfId="1" applyNumberFormat="1" applyFont="1" applyFill="1" applyBorder="1" applyAlignment="1">
      <alignment vertical="center"/>
    </xf>
    <xf numFmtId="0" fontId="14" fillId="0" borderId="7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3" fontId="23" fillId="0" borderId="0" xfId="1" applyNumberFormat="1" applyFont="1" applyFill="1" applyBorder="1" applyAlignment="1">
      <alignment vertical="center"/>
    </xf>
    <xf numFmtId="0" fontId="38" fillId="0" borderId="0" xfId="3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64" xfId="0" applyFont="1" applyFill="1" applyBorder="1" applyAlignment="1">
      <alignment horizontal="center" vertical="center"/>
    </xf>
    <xf numFmtId="15" fontId="19" fillId="0" borderId="64" xfId="0" applyNumberFormat="1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 wrapText="1"/>
    </xf>
    <xf numFmtId="49" fontId="19" fillId="0" borderId="64" xfId="0" applyNumberFormat="1" applyFont="1" applyFill="1" applyBorder="1" applyAlignment="1">
      <alignment horizontal="center" vertical="center"/>
    </xf>
    <xf numFmtId="49" fontId="19" fillId="13" borderId="64" xfId="0" applyNumberFormat="1" applyFont="1" applyFill="1" applyBorder="1" applyAlignment="1">
      <alignment horizontal="center" vertical="center"/>
    </xf>
    <xf numFmtId="0" fontId="19" fillId="13" borderId="64" xfId="0" applyFont="1" applyFill="1" applyBorder="1" applyAlignment="1">
      <alignment horizontal="justify" vertical="center" wrapText="1"/>
    </xf>
    <xf numFmtId="3" fontId="33" fillId="0" borderId="64" xfId="4" applyNumberFormat="1" applyFont="1" applyFill="1" applyBorder="1" applyAlignment="1">
      <alignment vertical="center"/>
    </xf>
    <xf numFmtId="3" fontId="33" fillId="13" borderId="64" xfId="4" applyNumberFormat="1" applyFont="1" applyFill="1" applyBorder="1" applyAlignment="1">
      <alignment vertical="center"/>
    </xf>
    <xf numFmtId="3" fontId="19" fillId="0" borderId="64" xfId="8" applyNumberFormat="1" applyFont="1" applyFill="1" applyBorder="1" applyAlignment="1">
      <alignment vertical="center"/>
    </xf>
    <xf numFmtId="3" fontId="33" fillId="0" borderId="78" xfId="8" applyNumberFormat="1" applyFont="1" applyFill="1" applyBorder="1" applyAlignment="1">
      <alignment vertical="center"/>
    </xf>
    <xf numFmtId="4" fontId="19" fillId="0" borderId="64" xfId="4" applyNumberFormat="1" applyFont="1" applyFill="1" applyBorder="1" applyAlignment="1">
      <alignment horizontal="center" vertical="center"/>
    </xf>
    <xf numFmtId="9" fontId="19" fillId="0" borderId="64" xfId="9" applyNumberFormat="1" applyFont="1" applyFill="1" applyBorder="1" applyAlignment="1">
      <alignment horizontal="center" vertical="center"/>
    </xf>
    <xf numFmtId="10" fontId="19" fillId="0" borderId="64" xfId="5" applyNumberFormat="1" applyFont="1" applyFill="1" applyBorder="1" applyAlignment="1">
      <alignment horizontal="center" vertical="center" wrapText="1"/>
    </xf>
    <xf numFmtId="2" fontId="19" fillId="0" borderId="64" xfId="5" applyNumberFormat="1" applyFont="1" applyFill="1" applyBorder="1" applyAlignment="1">
      <alignment horizontal="center" vertical="center"/>
    </xf>
    <xf numFmtId="49" fontId="19" fillId="0" borderId="64" xfId="5" applyNumberFormat="1" applyFont="1" applyFill="1" applyBorder="1" applyAlignment="1">
      <alignment horizontal="center" vertical="center"/>
    </xf>
    <xf numFmtId="49" fontId="19" fillId="13" borderId="18" xfId="0" applyNumberFormat="1" applyFont="1" applyFill="1" applyBorder="1" applyAlignment="1">
      <alignment horizontal="center" vertical="center"/>
    </xf>
    <xf numFmtId="0" fontId="19" fillId="13" borderId="18" xfId="0" applyFont="1" applyFill="1" applyBorder="1" applyAlignment="1">
      <alignment horizontal="justify" vertical="center" wrapText="1"/>
    </xf>
    <xf numFmtId="3" fontId="19" fillId="0" borderId="18" xfId="8" applyNumberFormat="1" applyFont="1" applyFill="1" applyBorder="1" applyAlignment="1">
      <alignment vertical="center"/>
    </xf>
    <xf numFmtId="49" fontId="19" fillId="0" borderId="18" xfId="5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39" fillId="0" borderId="0" xfId="3" applyFont="1" applyFill="1" applyBorder="1" applyAlignment="1">
      <alignment horizontal="center" vertical="center"/>
    </xf>
    <xf numFmtId="40" fontId="33" fillId="0" borderId="0" xfId="4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horizontal="center"/>
    </xf>
    <xf numFmtId="0" fontId="38" fillId="0" borderId="0" xfId="3" applyFont="1" applyFill="1" applyAlignment="1">
      <alignment horizontal="center"/>
    </xf>
    <xf numFmtId="0" fontId="38" fillId="0" borderId="0" xfId="0" applyFont="1" applyFill="1"/>
    <xf numFmtId="0" fontId="1" fillId="0" borderId="0" xfId="0" applyFont="1" applyFill="1"/>
    <xf numFmtId="0" fontId="15" fillId="0" borderId="0" xfId="0" applyFont="1" applyFill="1" applyAlignment="1">
      <alignment wrapText="1"/>
    </xf>
    <xf numFmtId="43" fontId="22" fillId="0" borderId="0" xfId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43" fontId="23" fillId="9" borderId="4" xfId="1" applyFont="1" applyFill="1" applyBorder="1" applyAlignment="1">
      <alignment horizontal="center" vertical="center" wrapText="1"/>
    </xf>
    <xf numFmtId="43" fontId="23" fillId="8" borderId="1" xfId="1" applyFont="1" applyFill="1" applyBorder="1" applyAlignment="1">
      <alignment horizontal="center" vertical="center"/>
    </xf>
    <xf numFmtId="43" fontId="23" fillId="8" borderId="2" xfId="1" applyFont="1" applyFill="1" applyBorder="1" applyAlignment="1">
      <alignment horizontal="center" vertical="center"/>
    </xf>
    <xf numFmtId="43" fontId="23" fillId="8" borderId="3" xfId="1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43" fontId="23" fillId="8" borderId="5" xfId="1" applyFont="1" applyFill="1" applyBorder="1" applyAlignment="1">
      <alignment horizontal="center" vertical="center" wrapText="1"/>
    </xf>
    <xf numFmtId="43" fontId="23" fillId="8" borderId="6" xfId="1" applyFont="1" applyFill="1" applyBorder="1" applyAlignment="1">
      <alignment horizontal="center" vertical="center" wrapText="1"/>
    </xf>
    <xf numFmtId="43" fontId="23" fillId="9" borderId="1" xfId="1" applyFont="1" applyFill="1" applyBorder="1" applyAlignment="1">
      <alignment horizontal="center" vertical="center"/>
    </xf>
    <xf numFmtId="43" fontId="23" fillId="9" borderId="2" xfId="1" applyFont="1" applyFill="1" applyBorder="1" applyAlignment="1">
      <alignment horizontal="center" vertical="center"/>
    </xf>
    <xf numFmtId="43" fontId="23" fillId="9" borderId="3" xfId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43" fontId="26" fillId="5" borderId="5" xfId="1" applyFont="1" applyFill="1" applyBorder="1" applyAlignment="1">
      <alignment horizontal="center" vertical="center" wrapText="1"/>
    </xf>
    <xf numFmtId="43" fontId="26" fillId="5" borderId="6" xfId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horizontal="center" vertical="center"/>
    </xf>
    <xf numFmtId="43" fontId="14" fillId="0" borderId="0" xfId="1" applyFont="1" applyAlignment="1">
      <alignment horizontal="center" wrapText="1"/>
    </xf>
    <xf numFmtId="0" fontId="14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43" fontId="23" fillId="11" borderId="5" xfId="1" applyFont="1" applyFill="1" applyBorder="1" applyAlignment="1">
      <alignment horizontal="center" vertical="center"/>
    </xf>
    <xf numFmtId="43" fontId="23" fillId="11" borderId="22" xfId="1" applyFont="1" applyFill="1" applyBorder="1" applyAlignment="1">
      <alignment horizontal="center" vertical="center"/>
    </xf>
    <xf numFmtId="43" fontId="23" fillId="11" borderId="6" xfId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43" fontId="24" fillId="10" borderId="5" xfId="1" applyFont="1" applyFill="1" applyBorder="1" applyAlignment="1">
      <alignment horizontal="center" vertical="center" wrapText="1"/>
    </xf>
    <xf numFmtId="43" fontId="24" fillId="10" borderId="22" xfId="1" applyFont="1" applyFill="1" applyBorder="1" applyAlignment="1">
      <alignment horizontal="center" vertical="center" wrapText="1"/>
    </xf>
    <xf numFmtId="43" fontId="24" fillId="10" borderId="6" xfId="1" applyFont="1" applyFill="1" applyBorder="1" applyAlignment="1">
      <alignment horizontal="center" vertical="center" wrapText="1"/>
    </xf>
    <xf numFmtId="43" fontId="23" fillId="8" borderId="1" xfId="1" applyFont="1" applyFill="1" applyBorder="1" applyAlignment="1">
      <alignment horizontal="center" vertical="top"/>
    </xf>
    <xf numFmtId="43" fontId="23" fillId="8" borderId="2" xfId="1" applyFont="1" applyFill="1" applyBorder="1" applyAlignment="1">
      <alignment horizontal="center" vertical="top"/>
    </xf>
    <xf numFmtId="43" fontId="23" fillId="8" borderId="3" xfId="1" applyFont="1" applyFill="1" applyBorder="1" applyAlignment="1">
      <alignment horizontal="center" vertical="top"/>
    </xf>
    <xf numFmtId="43" fontId="23" fillId="5" borderId="1" xfId="1" applyFont="1" applyFill="1" applyBorder="1" applyAlignment="1">
      <alignment horizontal="center" vertical="center" wrapText="1"/>
    </xf>
    <xf numFmtId="43" fontId="23" fillId="5" borderId="2" xfId="1" applyFont="1" applyFill="1" applyBorder="1" applyAlignment="1">
      <alignment horizontal="center" vertical="center" wrapText="1"/>
    </xf>
    <xf numFmtId="43" fontId="23" fillId="5" borderId="3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3" fontId="35" fillId="12" borderId="7" xfId="3" applyNumberFormat="1" applyFont="1" applyFill="1" applyBorder="1" applyAlignment="1">
      <alignment horizontal="center" vertical="center"/>
    </xf>
    <xf numFmtId="3" fontId="35" fillId="12" borderId="8" xfId="3" applyNumberFormat="1" applyFont="1" applyFill="1" applyBorder="1" applyAlignment="1">
      <alignment horizontal="center" vertical="center"/>
    </xf>
    <xf numFmtId="3" fontId="35" fillId="12" borderId="9" xfId="3" applyNumberFormat="1" applyFont="1" applyFill="1" applyBorder="1" applyAlignment="1">
      <alignment horizontal="center" vertical="center"/>
    </xf>
    <xf numFmtId="40" fontId="35" fillId="12" borderId="10" xfId="3" applyNumberFormat="1" applyFont="1" applyFill="1" applyBorder="1" applyAlignment="1">
      <alignment horizontal="center" vertical="center"/>
    </xf>
    <xf numFmtId="0" fontId="36" fillId="6" borderId="9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3" fontId="47" fillId="14" borderId="43" xfId="3" applyNumberFormat="1" applyFont="1" applyFill="1" applyBorder="1" applyAlignment="1">
      <alignment horizontal="center" vertical="center"/>
    </xf>
    <xf numFmtId="3" fontId="47" fillId="14" borderId="66" xfId="3" applyNumberFormat="1" applyFont="1" applyFill="1" applyBorder="1" applyAlignment="1">
      <alignment horizontal="center" vertical="center"/>
    </xf>
    <xf numFmtId="3" fontId="47" fillId="14" borderId="44" xfId="3" applyNumberFormat="1" applyFont="1" applyFill="1" applyBorder="1" applyAlignment="1">
      <alignment horizontal="center" vertical="center"/>
    </xf>
    <xf numFmtId="40" fontId="47" fillId="14" borderId="43" xfId="3" applyNumberFormat="1" applyFont="1" applyFill="1" applyBorder="1" applyAlignment="1">
      <alignment horizontal="center" vertical="center"/>
    </xf>
    <xf numFmtId="40" fontId="47" fillId="14" borderId="66" xfId="3" applyNumberFormat="1" applyFont="1" applyFill="1" applyBorder="1" applyAlignment="1">
      <alignment horizontal="center" vertical="center"/>
    </xf>
    <xf numFmtId="40" fontId="47" fillId="14" borderId="44" xfId="3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30" fillId="3" borderId="0" xfId="0" applyFont="1" applyFill="1" applyAlignment="1">
      <alignment horizontal="center" vertical="top" wrapText="1"/>
    </xf>
    <xf numFmtId="0" fontId="44" fillId="3" borderId="0" xfId="0" applyFont="1" applyFill="1" applyAlignment="1">
      <alignment horizontal="center" vertical="top" wrapText="1"/>
    </xf>
    <xf numFmtId="0" fontId="44" fillId="3" borderId="0" xfId="0" applyFont="1" applyFill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49" fillId="6" borderId="61" xfId="7" applyFont="1" applyFill="1" applyBorder="1" applyAlignment="1">
      <alignment horizontal="center" vertical="center" wrapText="1"/>
    </xf>
    <xf numFmtId="0" fontId="49" fillId="6" borderId="62" xfId="7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41" fillId="0" borderId="68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1" fillId="0" borderId="71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8" fillId="6" borderId="67" xfId="0" applyFont="1" applyFill="1" applyBorder="1" applyAlignment="1">
      <alignment horizontal="center" vertical="center" wrapText="1"/>
    </xf>
    <xf numFmtId="0" fontId="48" fillId="6" borderId="46" xfId="0" applyFont="1" applyFill="1" applyBorder="1" applyAlignment="1">
      <alignment horizontal="center" vertical="center" wrapText="1"/>
    </xf>
    <xf numFmtId="0" fontId="41" fillId="0" borderId="73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44" fontId="41" fillId="0" borderId="69" xfId="2" applyFont="1" applyBorder="1" applyAlignment="1">
      <alignment horizontal="center"/>
    </xf>
    <xf numFmtId="44" fontId="41" fillId="0" borderId="70" xfId="2" applyFont="1" applyBorder="1" applyAlignment="1">
      <alignment horizontal="center"/>
    </xf>
    <xf numFmtId="44" fontId="41" fillId="0" borderId="18" xfId="2" applyFont="1" applyBorder="1" applyAlignment="1">
      <alignment horizontal="center"/>
    </xf>
    <xf numFmtId="44" fontId="41" fillId="0" borderId="72" xfId="2" applyFont="1" applyBorder="1" applyAlignment="1">
      <alignment horizontal="center"/>
    </xf>
    <xf numFmtId="44" fontId="41" fillId="0" borderId="74" xfId="2" applyFont="1" applyBorder="1" applyAlignment="1">
      <alignment horizontal="center"/>
    </xf>
    <xf numFmtId="44" fontId="41" fillId="0" borderId="75" xfId="2" applyFont="1" applyBorder="1" applyAlignment="1">
      <alignment horizontal="center"/>
    </xf>
  </cellXfs>
  <cellStyles count="10">
    <cellStyle name="Millares" xfId="1" builtinId="3"/>
    <cellStyle name="Millares 14 10" xfId="8"/>
    <cellStyle name="Millares 2 3" xfId="4"/>
    <cellStyle name="Millares 32" xfId="6"/>
    <cellStyle name="Moneda" xfId="2" builtinId="4"/>
    <cellStyle name="Normal" xfId="0" builtinId="0"/>
    <cellStyle name="Normal 10" xfId="7"/>
    <cellStyle name="Normal 2" xfId="3"/>
    <cellStyle name="Porcentual 14 10" xfId="9"/>
    <cellStyle name="Porcentual 2 3" xfId="5"/>
  </cellStyles>
  <dxfs count="0"/>
  <tableStyles count="0" defaultTableStyle="TableStyleMedium2" defaultPivotStyle="PivotStyleLight16"/>
  <colors>
    <mruColors>
      <color rgb="FFFFCCFF"/>
      <color rgb="FF66FFFF"/>
      <color rgb="FFFFFF66"/>
      <color rgb="FF66FF66"/>
      <color rgb="FFCC99FF"/>
      <color rgb="FFB2B2B2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178346</xdr:rowOff>
    </xdr:from>
    <xdr:to>
      <xdr:col>2</xdr:col>
      <xdr:colOff>1716404</xdr:colOff>
      <xdr:row>7</xdr:row>
      <xdr:rowOff>65689</xdr:rowOff>
    </xdr:to>
    <xdr:pic>
      <xdr:nvPicPr>
        <xdr:cNvPr id="4" name="7 Imagen" descr="D:\Mi Información\Documents\2017\logos Municipio 2017 - 2019\1_2 Heráldica Azul\JPG\6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716" y="720286"/>
          <a:ext cx="1716404" cy="1348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9524</xdr:rowOff>
    </xdr:from>
    <xdr:to>
      <xdr:col>1</xdr:col>
      <xdr:colOff>847725</xdr:colOff>
      <xdr:row>2</xdr:row>
      <xdr:rowOff>638175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024"/>
          <a:ext cx="1514475" cy="1276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184786</xdr:colOff>
      <xdr:row>0</xdr:row>
      <xdr:rowOff>188595</xdr:rowOff>
    </xdr:from>
    <xdr:to>
      <xdr:col>2</xdr:col>
      <xdr:colOff>20956</xdr:colOff>
      <xdr:row>5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6" y="188595"/>
          <a:ext cx="1341120" cy="992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2</xdr:col>
      <xdr:colOff>85724</xdr:colOff>
      <xdr:row>5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1533524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38101</xdr:rowOff>
    </xdr:from>
    <xdr:to>
      <xdr:col>1</xdr:col>
      <xdr:colOff>552450</xdr:colOff>
      <xdr:row>3</xdr:row>
      <xdr:rowOff>74414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1"/>
          <a:ext cx="1028700" cy="884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19050</xdr:rowOff>
    </xdr:from>
    <xdr:to>
      <xdr:col>2</xdr:col>
      <xdr:colOff>295275</xdr:colOff>
      <xdr:row>3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550"/>
          <a:ext cx="15144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U64"/>
  <sheetViews>
    <sheetView zoomScale="58" zoomScaleNormal="58" workbookViewId="0">
      <pane xSplit="3" ySplit="12" topLeftCell="D13" activePane="bottomRight" state="frozen"/>
      <selection activeCell="Q4" sqref="Q1:R1048576"/>
      <selection pane="topRight" activeCell="Q4" sqref="Q1:R1048576"/>
      <selection pane="bottomLeft" activeCell="Q4" sqref="Q1:R1048576"/>
      <selection pane="bottomRight" activeCell="C6" sqref="C6:Y6"/>
    </sheetView>
  </sheetViews>
  <sheetFormatPr baseColWidth="10" defaultRowHeight="15"/>
  <cols>
    <col min="1" max="1" width="5.5703125" style="9" customWidth="1"/>
    <col min="2" max="2" width="0" hidden="1" customWidth="1"/>
    <col min="3" max="3" width="60.28515625" customWidth="1"/>
    <col min="4" max="4" width="38.5703125" customWidth="1"/>
    <col min="5" max="5" width="26.7109375" customWidth="1"/>
    <col min="6" max="6" width="24.28515625" style="2" hidden="1" customWidth="1"/>
    <col min="7" max="7" width="20.5703125" style="2" hidden="1" customWidth="1"/>
    <col min="8" max="8" width="28.140625" style="2" hidden="1" customWidth="1"/>
    <col min="9" max="9" width="21.28515625" style="2" hidden="1" customWidth="1"/>
    <col min="10" max="10" width="28" style="2" hidden="1" customWidth="1"/>
    <col min="11" max="11" width="22.28515625" style="2" hidden="1" customWidth="1"/>
    <col min="12" max="12" width="23.28515625" style="2" hidden="1" customWidth="1"/>
    <col min="13" max="13" width="24.85546875" style="2" hidden="1" customWidth="1"/>
    <col min="14" max="14" width="23.7109375" style="2" hidden="1" customWidth="1"/>
    <col min="15" max="15" width="19.85546875" style="2" hidden="1" customWidth="1"/>
    <col min="16" max="18" width="20.42578125" style="2" hidden="1" customWidth="1"/>
    <col min="19" max="19" width="26.42578125" style="2" customWidth="1"/>
    <col min="20" max="20" width="25.85546875" style="2" customWidth="1"/>
    <col min="21" max="21" width="29.5703125" style="2" customWidth="1"/>
    <col min="22" max="24" width="25.85546875" style="2" customWidth="1"/>
    <col min="25" max="25" width="41.140625" style="9" customWidth="1"/>
    <col min="26" max="26" width="22.28515625" style="9" customWidth="1"/>
    <col min="27" max="27" width="21.85546875" style="9" bestFit="1" customWidth="1"/>
    <col min="28" max="33" width="11.5703125" style="9"/>
    <col min="34" max="34" width="16.42578125" style="9" bestFit="1" customWidth="1"/>
    <col min="35" max="73" width="11.5703125" style="9"/>
  </cols>
  <sheetData>
    <row r="2" spans="1:73" ht="27" customHeight="1">
      <c r="E2" s="25"/>
    </row>
    <row r="4" spans="1:73" s="6" customFormat="1" ht="27" customHeight="1">
      <c r="A4" s="8"/>
      <c r="B4" s="5"/>
      <c r="C4" s="424" t="s">
        <v>50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7"/>
      <c r="AA4" s="42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73" s="6" customFormat="1" ht="24" customHeight="1">
      <c r="A5" s="8"/>
      <c r="B5" s="5"/>
      <c r="C5" s="424" t="s">
        <v>995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8"/>
      <c r="AA5" s="42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21.75" customHeight="1">
      <c r="A6" s="8"/>
      <c r="B6" s="3"/>
      <c r="C6" s="425" t="s">
        <v>7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9"/>
      <c r="AA6" s="42"/>
    </row>
    <row r="7" spans="1:73" s="6" customFormat="1" ht="26.25">
      <c r="A7" s="4"/>
      <c r="B7" s="7"/>
      <c r="C7" s="429" t="s">
        <v>6</v>
      </c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50"/>
      <c r="AA7" s="43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15.75">
      <c r="Y8" s="256" t="s">
        <v>878</v>
      </c>
    </row>
    <row r="9" spans="1:73" s="32" customFormat="1" ht="23.25">
      <c r="A9" s="31"/>
      <c r="B9" s="405" t="s">
        <v>2</v>
      </c>
      <c r="C9" s="408" t="s">
        <v>9</v>
      </c>
      <c r="D9" s="415" t="s">
        <v>3</v>
      </c>
      <c r="E9" s="416"/>
      <c r="F9" s="412" t="s">
        <v>6</v>
      </c>
      <c r="G9" s="413"/>
      <c r="H9" s="413"/>
      <c r="I9" s="413"/>
      <c r="J9" s="414"/>
      <c r="K9" s="421" t="s">
        <v>46</v>
      </c>
      <c r="L9" s="422"/>
      <c r="M9" s="422"/>
      <c r="N9" s="422"/>
      <c r="O9" s="422"/>
      <c r="P9" s="423"/>
      <c r="Q9" s="434" t="s">
        <v>48</v>
      </c>
      <c r="R9" s="440" t="s">
        <v>42</v>
      </c>
      <c r="S9" s="446" t="s">
        <v>51</v>
      </c>
      <c r="T9" s="447"/>
      <c r="U9" s="447"/>
      <c r="V9" s="447"/>
      <c r="W9" s="447"/>
      <c r="X9" s="448"/>
      <c r="Y9" s="437" t="s">
        <v>12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</row>
    <row r="10" spans="1:73" s="32" customFormat="1" ht="21.75" customHeight="1">
      <c r="A10" s="31"/>
      <c r="B10" s="406"/>
      <c r="C10" s="409"/>
      <c r="D10" s="417"/>
      <c r="E10" s="418"/>
      <c r="F10" s="419" t="s">
        <v>57</v>
      </c>
      <c r="G10" s="443" t="s">
        <v>47</v>
      </c>
      <c r="H10" s="444"/>
      <c r="I10" s="445"/>
      <c r="J10" s="419" t="s">
        <v>43</v>
      </c>
      <c r="K10" s="411" t="s">
        <v>54</v>
      </c>
      <c r="L10" s="411" t="s">
        <v>58</v>
      </c>
      <c r="M10" s="411" t="s">
        <v>56</v>
      </c>
      <c r="N10" s="411" t="s">
        <v>61</v>
      </c>
      <c r="O10" s="411" t="s">
        <v>59</v>
      </c>
      <c r="P10" s="411" t="s">
        <v>60</v>
      </c>
      <c r="Q10" s="435"/>
      <c r="R10" s="441"/>
      <c r="S10" s="426" t="s">
        <v>65</v>
      </c>
      <c r="T10" s="426" t="s">
        <v>345</v>
      </c>
      <c r="U10" s="426" t="s">
        <v>481</v>
      </c>
      <c r="V10" s="426" t="s">
        <v>991</v>
      </c>
      <c r="W10" s="426" t="s">
        <v>990</v>
      </c>
      <c r="X10" s="426" t="s">
        <v>64</v>
      </c>
      <c r="Y10" s="43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</row>
    <row r="11" spans="1:73" s="1" customFormat="1" ht="62.25" customHeight="1">
      <c r="A11" s="10"/>
      <c r="B11" s="407"/>
      <c r="C11" s="410"/>
      <c r="D11" s="45" t="s">
        <v>40</v>
      </c>
      <c r="E11" s="45" t="s">
        <v>4</v>
      </c>
      <c r="F11" s="420"/>
      <c r="G11" s="46" t="s">
        <v>54</v>
      </c>
      <c r="H11" s="46" t="s">
        <v>55</v>
      </c>
      <c r="I11" s="46" t="s">
        <v>56</v>
      </c>
      <c r="J11" s="420"/>
      <c r="K11" s="411"/>
      <c r="L11" s="411"/>
      <c r="M11" s="411"/>
      <c r="N11" s="411"/>
      <c r="O11" s="411"/>
      <c r="P11" s="411"/>
      <c r="Q11" s="436"/>
      <c r="R11" s="442"/>
      <c r="S11" s="427"/>
      <c r="T11" s="427"/>
      <c r="U11" s="427"/>
      <c r="V11" s="427"/>
      <c r="W11" s="427"/>
      <c r="X11" s="427"/>
      <c r="Y11" s="43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1" customFormat="1" ht="15.75" thickBot="1">
      <c r="A12" s="10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4"/>
      <c r="T12" s="14"/>
      <c r="U12" s="14"/>
      <c r="V12" s="14"/>
      <c r="W12" s="14"/>
      <c r="X12" s="14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30" customFormat="1" ht="35.1" customHeight="1">
      <c r="A13" s="26"/>
      <c r="B13" s="27" t="s">
        <v>1</v>
      </c>
      <c r="C13" s="51" t="s">
        <v>10</v>
      </c>
      <c r="D13" s="52">
        <f>PDM!C5</f>
        <v>171738842.34</v>
      </c>
      <c r="E13" s="52">
        <f>PDM!C6</f>
        <v>157401622.54999995</v>
      </c>
      <c r="F13" s="52">
        <f>10786621.43+16507888.13+20079983.16+16612728.48+12413120.62+8847708.04+9090734.93+4718565.52</f>
        <v>99057350.310000017</v>
      </c>
      <c r="G13" s="52">
        <f>33291.15+2405095.31+2707312.81+7294915.23+1829547.1+3016205.01+1812829.95</f>
        <v>19099196.559999999</v>
      </c>
      <c r="H13" s="52">
        <f>1587699.7+1242556.81+2244201.98+4107652.24+2343821.94+4077835.56+347007.93</f>
        <v>15950776.16</v>
      </c>
      <c r="I13" s="52">
        <f>145629.44+61857.23+220689.17+638963.62+434800.51+775980.78+1534034.81</f>
        <v>3811955.56</v>
      </c>
      <c r="J13" s="52">
        <f>SUM(F13:I13)</f>
        <v>137919278.59</v>
      </c>
      <c r="K13" s="52"/>
      <c r="L13" s="52"/>
      <c r="M13" s="52"/>
      <c r="N13" s="52"/>
      <c r="O13" s="52"/>
      <c r="P13" s="52"/>
      <c r="Q13" s="52"/>
      <c r="R13" s="52"/>
      <c r="S13" s="52">
        <f>J13</f>
        <v>137919278.59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68">
        <f>D13-S13-T13-U13-V13-W13-X13</f>
        <v>33819563.75</v>
      </c>
      <c r="Z13" s="28"/>
      <c r="AA13" s="28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1:73" s="30" customFormat="1" ht="35.1" customHeight="1">
      <c r="A14" s="26"/>
      <c r="B14" s="27" t="s">
        <v>0</v>
      </c>
      <c r="C14" s="53" t="s">
        <v>11</v>
      </c>
      <c r="D14" s="44">
        <v>357570.22</v>
      </c>
      <c r="E14" s="260">
        <v>0</v>
      </c>
      <c r="F14" s="44"/>
      <c r="G14" s="44"/>
      <c r="H14" s="44"/>
      <c r="I14" s="44"/>
      <c r="J14" s="44">
        <f t="shared" ref="J14:J28" si="0">SUM(F14:I14)</f>
        <v>0</v>
      </c>
      <c r="K14" s="44"/>
      <c r="L14" s="44"/>
      <c r="M14" s="44"/>
      <c r="N14" s="44"/>
      <c r="O14" s="44"/>
      <c r="P14" s="44"/>
      <c r="Q14" s="44"/>
      <c r="R14" s="44"/>
      <c r="S14" s="260">
        <v>0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364">
        <f t="shared" ref="Y14:Y15" si="1">D14-S14-T14-U14-V14-W14-X14</f>
        <v>357570.22</v>
      </c>
      <c r="Z14" s="70"/>
      <c r="AA14" s="28"/>
      <c r="AB14" s="26"/>
      <c r="AC14" s="26"/>
      <c r="AD14" s="26"/>
      <c r="AE14" s="26"/>
      <c r="AF14" s="26"/>
      <c r="AG14" s="26"/>
      <c r="AH14" s="28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</row>
    <row r="15" spans="1:73" s="30" customFormat="1" ht="50.25" customHeight="1">
      <c r="A15" s="26"/>
      <c r="B15" s="27">
        <v>2502</v>
      </c>
      <c r="C15" s="54" t="s">
        <v>67</v>
      </c>
      <c r="D15" s="44">
        <v>595426164</v>
      </c>
      <c r="E15" s="44">
        <f>FORTAMUNDF!C9</f>
        <v>595426164</v>
      </c>
      <c r="F15" s="355">
        <v>866655.92</v>
      </c>
      <c r="G15" s="44"/>
      <c r="H15" s="44"/>
      <c r="I15" s="44"/>
      <c r="J15" s="44">
        <f t="shared" si="0"/>
        <v>866655.92</v>
      </c>
      <c r="K15" s="44">
        <f>FORTAMUNDF!J16</f>
        <v>0</v>
      </c>
      <c r="L15" s="44"/>
      <c r="M15" s="44"/>
      <c r="N15" s="44"/>
      <c r="O15" s="44"/>
      <c r="P15" s="44"/>
      <c r="Q15" s="44"/>
      <c r="R15" s="44"/>
      <c r="S15" s="260">
        <f>J15</f>
        <v>866655.92</v>
      </c>
      <c r="T15" s="44">
        <f>FORTAMUNDF!P15</f>
        <v>331614630.82000017</v>
      </c>
      <c r="U15" s="44">
        <f>FORTAMUNDF!P20</f>
        <v>75427141.319999993</v>
      </c>
      <c r="V15" s="260">
        <v>0</v>
      </c>
      <c r="W15" s="260">
        <v>0</v>
      </c>
      <c r="X15" s="260">
        <f>FORTAMUNDF!P16+FORTAMUNDF!P17+FORTAMUNDF!P18+FORTAMUNDF!P19</f>
        <v>55697362.25</v>
      </c>
      <c r="Y15" s="364">
        <f t="shared" si="1"/>
        <v>131820373.68999988</v>
      </c>
      <c r="Z15" s="70"/>
      <c r="AA15" s="29"/>
      <c r="AB15" s="26"/>
      <c r="AC15" s="26"/>
      <c r="AD15" s="26"/>
      <c r="AE15" s="26"/>
      <c r="AF15" s="26"/>
      <c r="AG15" s="26"/>
      <c r="AH15" s="29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1:73" s="26" customFormat="1" ht="35.1" customHeight="1">
      <c r="B16" s="67">
        <v>25015520</v>
      </c>
      <c r="C16" s="53" t="s">
        <v>68</v>
      </c>
      <c r="D16" s="44">
        <v>145882796</v>
      </c>
      <c r="E16" s="44">
        <f>FISMDF!C8</f>
        <v>145114146.25000006</v>
      </c>
      <c r="F16" s="44">
        <f>70650443.24</f>
        <v>70650443.239999995</v>
      </c>
      <c r="G16" s="44"/>
      <c r="H16" s="44"/>
      <c r="I16" s="44">
        <v>1231230.74</v>
      </c>
      <c r="J16" s="44">
        <f t="shared" si="0"/>
        <v>71881673.979999989</v>
      </c>
      <c r="K16" s="44"/>
      <c r="L16" s="44"/>
      <c r="M16" s="44"/>
      <c r="N16" s="44"/>
      <c r="O16" s="44"/>
      <c r="P16" s="44"/>
      <c r="Q16" s="44"/>
      <c r="R16" s="44"/>
      <c r="S16" s="260">
        <f>J16</f>
        <v>71881673.979999989</v>
      </c>
      <c r="T16" s="260">
        <v>0</v>
      </c>
      <c r="U16" s="260">
        <v>0</v>
      </c>
      <c r="V16" s="44">
        <v>288819.63</v>
      </c>
      <c r="W16" s="44">
        <v>115679.84</v>
      </c>
      <c r="X16" s="260">
        <f>FISMDF!I88</f>
        <v>13505633.26</v>
      </c>
      <c r="Y16" s="142">
        <f>D16-V16-W16-S16-X16</f>
        <v>60090989.290000014</v>
      </c>
      <c r="Z16" s="70"/>
      <c r="AA16" s="29"/>
    </row>
    <row r="17" spans="1:73" s="30" customFormat="1" ht="35.1" customHeight="1">
      <c r="A17" s="26"/>
      <c r="B17" s="27">
        <v>2505</v>
      </c>
      <c r="C17" s="53" t="s">
        <v>69</v>
      </c>
      <c r="D17" s="44">
        <v>10000000</v>
      </c>
      <c r="E17" s="260">
        <v>0</v>
      </c>
      <c r="F17" s="44"/>
      <c r="G17" s="44"/>
      <c r="H17" s="44"/>
      <c r="I17" s="44"/>
      <c r="J17" s="44">
        <f t="shared" ref="J17" si="2">SUM(F17:I17)</f>
        <v>0</v>
      </c>
      <c r="K17" s="44"/>
      <c r="L17" s="44"/>
      <c r="M17" s="44"/>
      <c r="N17" s="44"/>
      <c r="O17" s="44"/>
      <c r="P17" s="44"/>
      <c r="Q17" s="44"/>
      <c r="R17" s="44"/>
      <c r="S17" s="260">
        <v>0</v>
      </c>
      <c r="T17" s="260">
        <v>0</v>
      </c>
      <c r="U17" s="260"/>
      <c r="V17" s="260">
        <v>0</v>
      </c>
      <c r="W17" s="260">
        <v>0</v>
      </c>
      <c r="X17" s="260">
        <v>0</v>
      </c>
      <c r="Y17" s="69">
        <f t="shared" ref="Y17:Y25" si="3">D17-J17-X17</f>
        <v>10000000</v>
      </c>
      <c r="Z17" s="70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</row>
    <row r="18" spans="1:73" s="30" customFormat="1" ht="35.1" customHeight="1">
      <c r="A18" s="26"/>
      <c r="B18" s="27">
        <v>2505</v>
      </c>
      <c r="C18" s="53" t="s">
        <v>70</v>
      </c>
      <c r="D18" s="44">
        <v>59440000</v>
      </c>
      <c r="E18" s="260">
        <v>0</v>
      </c>
      <c r="F18" s="44"/>
      <c r="G18" s="44"/>
      <c r="H18" s="44"/>
      <c r="I18" s="44"/>
      <c r="J18" s="44">
        <f t="shared" si="0"/>
        <v>0</v>
      </c>
      <c r="K18" s="44"/>
      <c r="L18" s="44"/>
      <c r="M18" s="44"/>
      <c r="N18" s="44"/>
      <c r="O18" s="44"/>
      <c r="P18" s="44"/>
      <c r="Q18" s="44"/>
      <c r="R18" s="44"/>
      <c r="S18" s="260">
        <v>0</v>
      </c>
      <c r="T18" s="260">
        <v>0</v>
      </c>
      <c r="U18" s="260">
        <v>0</v>
      </c>
      <c r="V18" s="260">
        <v>0</v>
      </c>
      <c r="W18" s="260">
        <v>0</v>
      </c>
      <c r="X18" s="260">
        <v>0</v>
      </c>
      <c r="Y18" s="69">
        <f t="shared" si="3"/>
        <v>59440000</v>
      </c>
      <c r="Z18" s="70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</row>
    <row r="19" spans="1:73" s="30" customFormat="1" ht="35.1" customHeight="1">
      <c r="A19" s="26"/>
      <c r="B19" s="27"/>
      <c r="C19" s="54" t="s">
        <v>71</v>
      </c>
      <c r="D19" s="44">
        <v>1580000</v>
      </c>
      <c r="E19" s="260">
        <v>0</v>
      </c>
      <c r="F19" s="44"/>
      <c r="G19" s="44"/>
      <c r="H19" s="44"/>
      <c r="I19" s="44"/>
      <c r="J19" s="44">
        <f>SUM(F19:I19)</f>
        <v>0</v>
      </c>
      <c r="K19" s="44"/>
      <c r="L19" s="44"/>
      <c r="M19" s="44"/>
      <c r="N19" s="44"/>
      <c r="O19" s="44"/>
      <c r="P19" s="44"/>
      <c r="Q19" s="44"/>
      <c r="R19" s="44"/>
      <c r="S19" s="260">
        <v>0</v>
      </c>
      <c r="T19" s="260">
        <v>0</v>
      </c>
      <c r="U19" s="260">
        <v>0</v>
      </c>
      <c r="V19" s="260">
        <v>0</v>
      </c>
      <c r="W19" s="260">
        <v>0</v>
      </c>
      <c r="X19" s="260">
        <v>0</v>
      </c>
      <c r="Y19" s="69">
        <f t="shared" si="3"/>
        <v>1580000</v>
      </c>
      <c r="Z19" s="70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</row>
    <row r="20" spans="1:73" s="30" customFormat="1" ht="35.1" customHeight="1">
      <c r="A20" s="26"/>
      <c r="B20" s="27">
        <v>2510</v>
      </c>
      <c r="C20" s="53" t="s">
        <v>72</v>
      </c>
      <c r="D20" s="44">
        <v>15300000</v>
      </c>
      <c r="E20" s="260">
        <v>0</v>
      </c>
      <c r="F20" s="44"/>
      <c r="G20" s="44"/>
      <c r="H20" s="44"/>
      <c r="I20" s="44"/>
      <c r="J20" s="44">
        <f t="shared" si="0"/>
        <v>0</v>
      </c>
      <c r="K20" s="44"/>
      <c r="L20" s="44"/>
      <c r="M20" s="44"/>
      <c r="N20" s="44"/>
      <c r="O20" s="44"/>
      <c r="P20" s="44"/>
      <c r="Q20" s="44"/>
      <c r="R20" s="44"/>
      <c r="S20" s="260">
        <f t="shared" ref="S20:S28" si="4">SUM(J20:R20)</f>
        <v>0</v>
      </c>
      <c r="T20" s="260">
        <v>0</v>
      </c>
      <c r="U20" s="260">
        <v>0</v>
      </c>
      <c r="V20" s="260">
        <v>0</v>
      </c>
      <c r="W20" s="260">
        <v>0</v>
      </c>
      <c r="X20" s="260">
        <v>0</v>
      </c>
      <c r="Y20" s="69">
        <f t="shared" si="3"/>
        <v>15300000</v>
      </c>
      <c r="Z20" s="70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</row>
    <row r="21" spans="1:73" s="30" customFormat="1" ht="57.75" customHeight="1">
      <c r="A21" s="26"/>
      <c r="B21" s="27">
        <v>2519</v>
      </c>
      <c r="C21" s="54" t="s">
        <v>868</v>
      </c>
      <c r="D21" s="44">
        <f>120000+120000</f>
        <v>240000</v>
      </c>
      <c r="E21" s="44">
        <v>240000</v>
      </c>
      <c r="F21" s="44"/>
      <c r="G21" s="44">
        <v>122909.68</v>
      </c>
      <c r="H21" s="44">
        <v>47385.36</v>
      </c>
      <c r="I21" s="44">
        <v>1655.86</v>
      </c>
      <c r="J21" s="44">
        <f t="shared" ref="J21" si="5">SUM(F21:I21)</f>
        <v>171950.89999999997</v>
      </c>
      <c r="K21" s="44"/>
      <c r="L21" s="44"/>
      <c r="M21" s="44"/>
      <c r="N21" s="44"/>
      <c r="O21" s="44"/>
      <c r="P21" s="44"/>
      <c r="Q21" s="44"/>
      <c r="R21" s="44"/>
      <c r="S21" s="260">
        <f>SUM(J21:R21)</f>
        <v>171950.89999999997</v>
      </c>
      <c r="T21" s="260">
        <v>0</v>
      </c>
      <c r="U21" s="260">
        <v>0</v>
      </c>
      <c r="V21" s="260">
        <v>0</v>
      </c>
      <c r="W21" s="260">
        <v>0</v>
      </c>
      <c r="X21" s="260">
        <v>0</v>
      </c>
      <c r="Y21" s="142">
        <f t="shared" si="3"/>
        <v>68049.100000000035</v>
      </c>
      <c r="Z21" s="70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</row>
    <row r="22" spans="1:73" s="30" customFormat="1" ht="35.1" customHeight="1">
      <c r="A22" s="26"/>
      <c r="B22" s="27">
        <v>2519</v>
      </c>
      <c r="C22" s="53" t="s">
        <v>869</v>
      </c>
      <c r="D22" s="44">
        <v>120000</v>
      </c>
      <c r="E22" s="44">
        <v>120000</v>
      </c>
      <c r="F22" s="44"/>
      <c r="G22" s="44"/>
      <c r="H22" s="44">
        <v>59968.270000000004</v>
      </c>
      <c r="I22" s="44"/>
      <c r="J22" s="44">
        <f t="shared" ref="J22" si="6">SUM(F22:I22)</f>
        <v>59968.270000000004</v>
      </c>
      <c r="K22" s="44"/>
      <c r="L22" s="44"/>
      <c r="M22" s="44"/>
      <c r="N22" s="44"/>
      <c r="O22" s="44"/>
      <c r="P22" s="44"/>
      <c r="Q22" s="44"/>
      <c r="R22" s="44"/>
      <c r="S22" s="260">
        <f t="shared" ref="S22" si="7">SUM(J22:R22)</f>
        <v>59968.270000000004</v>
      </c>
      <c r="T22" s="260">
        <v>0</v>
      </c>
      <c r="U22" s="260">
        <v>0</v>
      </c>
      <c r="V22" s="260">
        <v>0</v>
      </c>
      <c r="W22" s="260">
        <v>0</v>
      </c>
      <c r="X22" s="260">
        <v>0</v>
      </c>
      <c r="Y22" s="69">
        <f t="shared" si="3"/>
        <v>60031.729999999996</v>
      </c>
      <c r="Z22" s="70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</row>
    <row r="23" spans="1:73" s="30" customFormat="1" ht="35.1" customHeight="1">
      <c r="A23" s="26"/>
      <c r="B23" s="27">
        <v>2519</v>
      </c>
      <c r="C23" s="53" t="s">
        <v>231</v>
      </c>
      <c r="D23" s="44">
        <v>500000</v>
      </c>
      <c r="E23" s="260">
        <v>0</v>
      </c>
      <c r="F23" s="44"/>
      <c r="G23" s="44"/>
      <c r="H23" s="44"/>
      <c r="I23" s="44"/>
      <c r="J23" s="44">
        <f t="shared" si="0"/>
        <v>0</v>
      </c>
      <c r="K23" s="44"/>
      <c r="L23" s="44"/>
      <c r="M23" s="44"/>
      <c r="N23" s="44"/>
      <c r="O23" s="44"/>
      <c r="P23" s="44"/>
      <c r="Q23" s="44"/>
      <c r="R23" s="44"/>
      <c r="S23" s="260">
        <f t="shared" si="4"/>
        <v>0</v>
      </c>
      <c r="T23" s="260">
        <f>SUM(I23:Q23)</f>
        <v>0</v>
      </c>
      <c r="U23" s="260">
        <v>0</v>
      </c>
      <c r="V23" s="260">
        <v>0</v>
      </c>
      <c r="W23" s="260">
        <v>0</v>
      </c>
      <c r="X23" s="260">
        <f>SUM(J23:R23)</f>
        <v>0</v>
      </c>
      <c r="Y23" s="69">
        <f t="shared" si="3"/>
        <v>500000</v>
      </c>
      <c r="Z23" s="70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</row>
    <row r="24" spans="1:73" s="30" customFormat="1" ht="50.25" customHeight="1">
      <c r="A24" s="26"/>
      <c r="B24" s="27">
        <v>5321</v>
      </c>
      <c r="C24" s="54" t="s">
        <v>252</v>
      </c>
      <c r="D24" s="44">
        <v>6750000</v>
      </c>
      <c r="E24" s="260">
        <v>0</v>
      </c>
      <c r="F24" s="44"/>
      <c r="G24" s="44"/>
      <c r="H24" s="44"/>
      <c r="I24" s="44"/>
      <c r="J24" s="44">
        <f t="shared" ref="J24" si="8">SUM(F24:I24)</f>
        <v>0</v>
      </c>
      <c r="K24" s="44"/>
      <c r="L24" s="44"/>
      <c r="M24" s="44"/>
      <c r="N24" s="44"/>
      <c r="O24" s="44"/>
      <c r="P24" s="44"/>
      <c r="Q24" s="44"/>
      <c r="R24" s="44"/>
      <c r="S24" s="260">
        <v>0</v>
      </c>
      <c r="T24" s="260">
        <v>0</v>
      </c>
      <c r="U24" s="260">
        <v>0</v>
      </c>
      <c r="V24" s="260">
        <v>0</v>
      </c>
      <c r="W24" s="260">
        <v>0</v>
      </c>
      <c r="X24" s="260">
        <v>0</v>
      </c>
      <c r="Y24" s="69">
        <f t="shared" si="3"/>
        <v>6750000</v>
      </c>
      <c r="Z24" s="70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1:73" s="30" customFormat="1" ht="35.1" customHeight="1">
      <c r="A25" s="26"/>
      <c r="B25" s="27">
        <v>5321</v>
      </c>
      <c r="C25" s="54" t="s">
        <v>73</v>
      </c>
      <c r="D25" s="44">
        <v>1000000</v>
      </c>
      <c r="E25" s="260">
        <v>0</v>
      </c>
      <c r="F25" s="44"/>
      <c r="G25" s="44"/>
      <c r="H25" s="44"/>
      <c r="I25" s="44"/>
      <c r="J25" s="44">
        <f t="shared" si="0"/>
        <v>0</v>
      </c>
      <c r="K25" s="44"/>
      <c r="L25" s="44"/>
      <c r="M25" s="44"/>
      <c r="N25" s="44"/>
      <c r="O25" s="44"/>
      <c r="P25" s="44"/>
      <c r="Q25" s="44"/>
      <c r="R25" s="44"/>
      <c r="S25" s="260">
        <v>0</v>
      </c>
      <c r="T25" s="260">
        <v>0</v>
      </c>
      <c r="U25" s="260">
        <v>0</v>
      </c>
      <c r="V25" s="260">
        <v>0</v>
      </c>
      <c r="W25" s="260">
        <v>0</v>
      </c>
      <c r="X25" s="260">
        <v>0</v>
      </c>
      <c r="Y25" s="69">
        <f t="shared" si="3"/>
        <v>1000000</v>
      </c>
      <c r="Z25" s="70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1:73" s="30" customFormat="1" ht="48.75" customHeight="1">
      <c r="A26" s="26"/>
      <c r="B26" s="27">
        <v>5523</v>
      </c>
      <c r="C26" s="54" t="s">
        <v>74</v>
      </c>
      <c r="D26" s="44">
        <v>33068519</v>
      </c>
      <c r="E26" s="44">
        <v>33068519</v>
      </c>
      <c r="F26" s="44"/>
      <c r="G26" s="44"/>
      <c r="H26" s="44"/>
      <c r="I26" s="44"/>
      <c r="J26" s="44">
        <f t="shared" ref="J26" si="9">SUM(F26:I26)</f>
        <v>0</v>
      </c>
      <c r="K26" s="44"/>
      <c r="L26" s="44">
        <v>6290854</v>
      </c>
      <c r="M26" s="44">
        <v>8152867.0499999998</v>
      </c>
      <c r="N26" s="44">
        <v>627150</v>
      </c>
      <c r="O26" s="44">
        <v>3754999.98</v>
      </c>
      <c r="P26" s="44"/>
      <c r="Q26" s="44"/>
      <c r="R26" s="44"/>
      <c r="S26" s="260">
        <v>0</v>
      </c>
      <c r="T26" s="260">
        <v>0</v>
      </c>
      <c r="U26" s="260">
        <v>0</v>
      </c>
      <c r="V26" s="260">
        <v>0</v>
      </c>
      <c r="W26" s="260">
        <v>0</v>
      </c>
      <c r="X26" s="260">
        <f>L26+M26+N26+O26</f>
        <v>18825871.030000001</v>
      </c>
      <c r="Y26" s="69">
        <f>D26-L26-M26-N26-O26-P26</f>
        <v>14242647.969999999</v>
      </c>
      <c r="Z26" s="70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1:73" s="30" customFormat="1" ht="48.75" customHeight="1">
      <c r="A27" s="26"/>
      <c r="B27" s="27">
        <v>5523</v>
      </c>
      <c r="C27" s="54" t="s">
        <v>75</v>
      </c>
      <c r="D27" s="44">
        <v>6613703.7999999998</v>
      </c>
      <c r="E27" s="44">
        <v>6613703.7999999998</v>
      </c>
      <c r="F27" s="44"/>
      <c r="G27" s="44"/>
      <c r="H27" s="44"/>
      <c r="I27" s="44"/>
      <c r="J27" s="44">
        <f t="shared" si="0"/>
        <v>0</v>
      </c>
      <c r="K27" s="44"/>
      <c r="L27" s="44"/>
      <c r="M27" s="44"/>
      <c r="N27" s="44"/>
      <c r="O27" s="44"/>
      <c r="P27" s="44"/>
      <c r="Q27" s="44"/>
      <c r="R27" s="44"/>
      <c r="S27" s="260">
        <v>0</v>
      </c>
      <c r="T27" s="44">
        <f>FORTASEG!L19</f>
        <v>4350872.9700000007</v>
      </c>
      <c r="U27" s="260">
        <v>0</v>
      </c>
      <c r="V27" s="260">
        <v>0</v>
      </c>
      <c r="W27" s="260">
        <v>0</v>
      </c>
      <c r="X27" s="260">
        <v>0</v>
      </c>
      <c r="Y27" s="69">
        <f>D27-S27-T27-U27-V27-W27-X27</f>
        <v>2262830.8299999991</v>
      </c>
      <c r="Z27" s="70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1:73" s="30" customFormat="1" ht="35.1" customHeight="1" thickBot="1">
      <c r="A28" s="26"/>
      <c r="B28" s="27"/>
      <c r="C28" s="122" t="s">
        <v>49</v>
      </c>
      <c r="D28" s="123">
        <v>200000</v>
      </c>
      <c r="E28" s="261">
        <v>0</v>
      </c>
      <c r="F28" s="123"/>
      <c r="G28" s="123"/>
      <c r="H28" s="123"/>
      <c r="I28" s="123"/>
      <c r="J28" s="123">
        <f t="shared" si="0"/>
        <v>0</v>
      </c>
      <c r="K28" s="123"/>
      <c r="L28" s="123"/>
      <c r="M28" s="123"/>
      <c r="N28" s="123"/>
      <c r="O28" s="123"/>
      <c r="P28" s="123"/>
      <c r="Q28" s="123"/>
      <c r="R28" s="123"/>
      <c r="S28" s="261">
        <f t="shared" si="4"/>
        <v>0</v>
      </c>
      <c r="T28" s="261">
        <f>SUM(I28:Q28)</f>
        <v>0</v>
      </c>
      <c r="U28" s="284">
        <v>0</v>
      </c>
      <c r="V28" s="284">
        <v>0</v>
      </c>
      <c r="W28" s="284">
        <v>0</v>
      </c>
      <c r="X28" s="261">
        <v>200000</v>
      </c>
      <c r="Y28" s="124">
        <f>D28-X28</f>
        <v>0</v>
      </c>
      <c r="Z28" s="70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</row>
    <row r="29" spans="1:73" s="357" customFormat="1" ht="50.25" customHeight="1" thickBot="1">
      <c r="A29" s="356"/>
      <c r="C29" s="371" t="s">
        <v>992</v>
      </c>
      <c r="D29" s="266">
        <f t="shared" ref="D29:S29" si="10">SUM(D13:D28)</f>
        <v>1048217595.3599999</v>
      </c>
      <c r="E29" s="266">
        <f t="shared" si="10"/>
        <v>937984155.5999999</v>
      </c>
      <c r="F29" s="266">
        <f t="shared" si="10"/>
        <v>170574449.47000003</v>
      </c>
      <c r="G29" s="262">
        <f t="shared" si="10"/>
        <v>19222106.239999998</v>
      </c>
      <c r="H29" s="262">
        <f t="shared" si="10"/>
        <v>16058129.789999999</v>
      </c>
      <c r="I29" s="262">
        <f t="shared" si="10"/>
        <v>5044842.16</v>
      </c>
      <c r="J29" s="262">
        <f t="shared" si="10"/>
        <v>210899527.66</v>
      </c>
      <c r="K29" s="262">
        <f t="shared" si="10"/>
        <v>0</v>
      </c>
      <c r="L29" s="262">
        <f t="shared" si="10"/>
        <v>6290854</v>
      </c>
      <c r="M29" s="262">
        <f t="shared" si="10"/>
        <v>8152867.0499999998</v>
      </c>
      <c r="N29" s="262">
        <f t="shared" si="10"/>
        <v>627150</v>
      </c>
      <c r="O29" s="262">
        <f t="shared" si="10"/>
        <v>3754999.98</v>
      </c>
      <c r="P29" s="262">
        <f t="shared" si="10"/>
        <v>0</v>
      </c>
      <c r="Q29" s="262">
        <f t="shared" si="10"/>
        <v>0</v>
      </c>
      <c r="R29" s="262">
        <f t="shared" si="10"/>
        <v>0</v>
      </c>
      <c r="S29" s="262">
        <f t="shared" si="10"/>
        <v>210899527.66</v>
      </c>
      <c r="T29" s="143">
        <f t="shared" ref="T29:X29" si="11">SUM(T13:T28)</f>
        <v>335965503.7900002</v>
      </c>
      <c r="U29" s="143">
        <f t="shared" si="11"/>
        <v>75427141.319999993</v>
      </c>
      <c r="V29" s="143">
        <f t="shared" si="11"/>
        <v>288819.63</v>
      </c>
      <c r="W29" s="143">
        <f t="shared" si="11"/>
        <v>115679.84</v>
      </c>
      <c r="X29" s="143">
        <f t="shared" si="11"/>
        <v>88228866.540000007</v>
      </c>
      <c r="Y29" s="262">
        <f>SUM(Y13:Y28)</f>
        <v>337292056.57999998</v>
      </c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</row>
    <row r="30" spans="1:73" s="357" customFormat="1" ht="50.25" customHeight="1" thickTop="1">
      <c r="A30" s="356"/>
      <c r="C30" s="372"/>
      <c r="D30" s="374"/>
      <c r="E30" s="374"/>
      <c r="F30" s="374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4"/>
      <c r="U30" s="264"/>
      <c r="V30" s="264"/>
      <c r="W30" s="264"/>
      <c r="X30" s="264"/>
      <c r="Y30" s="263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</row>
    <row r="31" spans="1:73" s="30" customFormat="1" ht="35.1" customHeight="1">
      <c r="A31" s="26"/>
      <c r="C31" s="373"/>
      <c r="D31" s="359" t="s">
        <v>802</v>
      </c>
      <c r="E31" s="288">
        <v>1000</v>
      </c>
      <c r="F31" s="365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9">
        <f>G29</f>
        <v>19222106.239999998</v>
      </c>
      <c r="U31" s="362"/>
      <c r="V31" s="363"/>
      <c r="W31" s="57"/>
      <c r="Y31" s="5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</row>
    <row r="32" spans="1:73" s="30" customFormat="1" ht="35.1" customHeight="1">
      <c r="A32" s="26"/>
      <c r="C32" s="286"/>
      <c r="D32" s="359" t="s">
        <v>802</v>
      </c>
      <c r="E32" s="288">
        <v>2000</v>
      </c>
      <c r="F32" s="365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9">
        <f>H29</f>
        <v>16058129.789999999</v>
      </c>
      <c r="U32" s="362"/>
      <c r="V32" s="363"/>
      <c r="W32" s="57"/>
      <c r="Y32" s="57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1:73" s="30" customFormat="1" ht="35.1" customHeight="1">
      <c r="A33" s="26"/>
      <c r="C33" s="286"/>
      <c r="D33" s="359" t="s">
        <v>802</v>
      </c>
      <c r="E33" s="288">
        <v>3000</v>
      </c>
      <c r="F33" s="365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9">
        <f>I29</f>
        <v>5044842.16</v>
      </c>
      <c r="U33" s="362"/>
      <c r="V33" s="363"/>
      <c r="W33" s="57"/>
      <c r="Y33" s="57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1:73" s="30" customFormat="1" ht="35.1" customHeight="1">
      <c r="A34" s="26"/>
      <c r="C34" s="286"/>
      <c r="D34" s="359" t="s">
        <v>802</v>
      </c>
      <c r="E34" s="288">
        <v>4000</v>
      </c>
      <c r="F34" s="365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70">
        <v>28956305.68</v>
      </c>
      <c r="T34" s="403"/>
      <c r="U34" s="404"/>
      <c r="V34" s="363"/>
      <c r="W34" s="57"/>
      <c r="Y34" s="57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</row>
    <row r="35" spans="1:73" s="30" customFormat="1" ht="35.1" customHeight="1">
      <c r="A35" s="26"/>
      <c r="C35" s="286"/>
      <c r="D35" s="359" t="s">
        <v>802</v>
      </c>
      <c r="E35" s="288">
        <v>6000</v>
      </c>
      <c r="F35" s="365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9">
        <f>F29-28956305.68</f>
        <v>141618143.79000002</v>
      </c>
      <c r="U35" s="362"/>
      <c r="V35" s="363"/>
      <c r="W35" s="57"/>
      <c r="Y35" s="57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</row>
    <row r="36" spans="1:73" s="30" customFormat="1" ht="35.1" customHeight="1" thickBot="1">
      <c r="A36" s="26"/>
      <c r="C36" s="286"/>
      <c r="D36" s="367" t="s">
        <v>22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368">
        <f>S31+S32+S33+S34+S35</f>
        <v>210899527.66000003</v>
      </c>
      <c r="U36" s="289"/>
      <c r="V36" s="358"/>
      <c r="W36" s="57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1:73" s="30" customFormat="1" ht="35.1" customHeight="1" thickTop="1">
      <c r="A37" s="26"/>
      <c r="C37" s="33"/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</row>
    <row r="38" spans="1:73" s="30" customFormat="1" ht="35.1" customHeight="1">
      <c r="A38" s="26"/>
      <c r="C38" s="33"/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</row>
    <row r="39" spans="1:73" ht="35.1" customHeight="1" thickBot="1">
      <c r="C39" s="55"/>
      <c r="D39" s="34"/>
      <c r="E39" s="64"/>
      <c r="F39" s="56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96"/>
      <c r="T39" s="58"/>
      <c r="U39" s="58"/>
      <c r="V39" s="58"/>
      <c r="W39" s="58"/>
      <c r="X39" s="62"/>
      <c r="Y39" s="62"/>
    </row>
    <row r="40" spans="1:73" ht="23.25" customHeight="1" thickTop="1">
      <c r="C40" s="136" t="s">
        <v>62</v>
      </c>
      <c r="D40" s="59"/>
      <c r="E40" s="60"/>
      <c r="F40" s="56"/>
      <c r="G40" s="59"/>
      <c r="H40" s="34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449" t="s">
        <v>44</v>
      </c>
      <c r="T40" s="449"/>
      <c r="U40" s="449"/>
      <c r="V40" s="449"/>
      <c r="W40" s="449"/>
      <c r="X40" s="449"/>
      <c r="Y40" s="62"/>
    </row>
    <row r="41" spans="1:73" s="135" customFormat="1" ht="33.75" customHeight="1">
      <c r="C41" s="136" t="s">
        <v>8</v>
      </c>
      <c r="D41" s="137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428" t="s">
        <v>63</v>
      </c>
      <c r="T41" s="428"/>
      <c r="U41" s="428"/>
      <c r="V41" s="428"/>
      <c r="W41" s="428"/>
      <c r="X41" s="428"/>
    </row>
    <row r="42" spans="1:73" ht="20.25">
      <c r="C42" s="61"/>
      <c r="D42" s="59"/>
      <c r="E42" s="65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428"/>
      <c r="T42" s="428"/>
      <c r="U42" s="428"/>
      <c r="V42" s="428"/>
      <c r="W42" s="428"/>
      <c r="X42" s="428"/>
    </row>
    <row r="43" spans="1:73">
      <c r="C43" s="16"/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73" hidden="1">
      <c r="C44" s="16"/>
      <c r="D44" s="16"/>
      <c r="E44" s="16"/>
      <c r="F44" s="17"/>
      <c r="G44" s="17"/>
      <c r="H44" s="17"/>
      <c r="I44" s="17"/>
      <c r="J44" s="17"/>
      <c r="K44" s="17"/>
      <c r="L44" s="17"/>
      <c r="M44" s="17"/>
      <c r="N44" s="432"/>
      <c r="O44" s="432"/>
      <c r="P44" s="432"/>
      <c r="Q44" s="432"/>
      <c r="R44" s="432"/>
      <c r="S44" s="17"/>
      <c r="T44" s="17"/>
      <c r="U44" s="17"/>
      <c r="V44" s="17"/>
      <c r="W44" s="17"/>
      <c r="X44" s="17"/>
    </row>
    <row r="45" spans="1:73" ht="15.75" hidden="1">
      <c r="C45" s="431"/>
      <c r="D45" s="431"/>
      <c r="E45" s="16"/>
      <c r="F45" s="17"/>
      <c r="G45" s="17"/>
      <c r="H45" s="17"/>
      <c r="I45" s="17"/>
      <c r="J45" s="17"/>
      <c r="K45" s="17"/>
      <c r="L45" s="17"/>
      <c r="M45" s="23"/>
      <c r="N45" s="433" t="s">
        <v>44</v>
      </c>
      <c r="O45" s="433"/>
      <c r="P45" s="433"/>
      <c r="Q45" s="433"/>
      <c r="R45" s="433"/>
      <c r="S45" s="433"/>
      <c r="T45" s="433"/>
      <c r="U45" s="433"/>
      <c r="V45" s="433"/>
      <c r="W45" s="433"/>
      <c r="X45" s="433"/>
    </row>
    <row r="46" spans="1:73" ht="15" hidden="1" customHeight="1">
      <c r="C46" s="431"/>
      <c r="D46" s="431"/>
      <c r="E46" s="16"/>
      <c r="F46" s="17"/>
      <c r="G46" s="17"/>
      <c r="H46" s="17"/>
      <c r="I46" s="17"/>
      <c r="J46" s="17"/>
      <c r="K46" s="17"/>
      <c r="L46" s="17"/>
      <c r="M46" s="24"/>
      <c r="N46" s="430" t="s">
        <v>45</v>
      </c>
      <c r="O46" s="430"/>
      <c r="P46" s="430"/>
      <c r="Q46" s="430"/>
      <c r="R46" s="430"/>
      <c r="S46" s="430"/>
      <c r="T46" s="430"/>
      <c r="U46" s="430"/>
      <c r="V46" s="430"/>
      <c r="W46" s="430"/>
      <c r="X46" s="430"/>
    </row>
    <row r="47" spans="1:73" hidden="1">
      <c r="C47" s="16"/>
      <c r="D47" s="16"/>
      <c r="E47" s="16"/>
      <c r="F47" s="17"/>
      <c r="G47" s="17"/>
      <c r="H47" s="17"/>
      <c r="I47" s="17"/>
      <c r="J47" s="17"/>
      <c r="K47" s="17"/>
      <c r="L47" s="17"/>
      <c r="M47" s="24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</row>
    <row r="48" spans="1:73">
      <c r="C48" s="19"/>
      <c r="D48" s="17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Z48" s="66"/>
    </row>
    <row r="49" spans="3:24">
      <c r="C49" s="16"/>
      <c r="D49" s="17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3:24">
      <c r="C50" s="16"/>
      <c r="D50" s="17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9"/>
      <c r="P50" s="19"/>
      <c r="Q50" s="19"/>
      <c r="R50" s="19"/>
      <c r="S50" s="17"/>
      <c r="T50" s="17"/>
      <c r="U50" s="17"/>
      <c r="V50" s="17"/>
      <c r="W50" s="17"/>
      <c r="X50" s="17"/>
    </row>
    <row r="51" spans="3:24">
      <c r="C51" s="16"/>
      <c r="D51" s="18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3:24" ht="24.95" customHeight="1">
      <c r="C52" s="2"/>
      <c r="D52" s="13"/>
      <c r="K52" s="20"/>
      <c r="L52" s="20"/>
      <c r="M52" s="20"/>
      <c r="N52" s="21"/>
      <c r="O52" s="21"/>
      <c r="Q52" s="21"/>
    </row>
    <row r="53" spans="3:24" ht="24.95" customHeight="1">
      <c r="K53" s="20"/>
      <c r="L53" s="20"/>
      <c r="M53" s="20"/>
      <c r="N53" s="22"/>
      <c r="O53" s="21"/>
      <c r="P53" s="21"/>
      <c r="Q53" s="21"/>
    </row>
    <row r="54" spans="3:24" ht="24.95" customHeight="1">
      <c r="K54" s="3"/>
      <c r="L54" s="3"/>
      <c r="M54" s="3"/>
      <c r="N54" s="22"/>
      <c r="O54" s="21"/>
      <c r="Q54" s="21"/>
    </row>
    <row r="55" spans="3:24" ht="24.95" customHeight="1">
      <c r="K55" s="3"/>
      <c r="L55" s="3"/>
      <c r="M55" s="3"/>
      <c r="N55" s="22"/>
      <c r="O55" s="21"/>
      <c r="P55" s="239"/>
      <c r="Q55" s="21"/>
    </row>
    <row r="56" spans="3:24" ht="24.95" customHeight="1">
      <c r="P56" s="238"/>
    </row>
    <row r="57" spans="3:24" ht="24.95" customHeight="1">
      <c r="C57" s="265"/>
      <c r="P57" s="238"/>
    </row>
    <row r="58" spans="3:24" ht="24.95" customHeight="1">
      <c r="C58" s="2"/>
      <c r="O58" s="238"/>
      <c r="P58" s="238"/>
    </row>
    <row r="59" spans="3:24" ht="24.95" customHeight="1">
      <c r="C59" s="13"/>
      <c r="O59" s="238"/>
    </row>
    <row r="60" spans="3:24" ht="24.95" customHeight="1">
      <c r="O60" s="238"/>
    </row>
    <row r="61" spans="3:24" ht="24.95" customHeight="1"/>
    <row r="62" spans="3:24" ht="24.95" customHeight="1"/>
    <row r="63" spans="3:24" ht="24.95" customHeight="1"/>
    <row r="64" spans="3:24" ht="24.95" customHeight="1"/>
  </sheetData>
  <mergeCells count="35">
    <mergeCell ref="S41:X42"/>
    <mergeCell ref="C7:Y7"/>
    <mergeCell ref="N46:X47"/>
    <mergeCell ref="C46:D46"/>
    <mergeCell ref="N44:R44"/>
    <mergeCell ref="N45:X45"/>
    <mergeCell ref="C45:D45"/>
    <mergeCell ref="Q9:Q11"/>
    <mergeCell ref="Y9:Y11"/>
    <mergeCell ref="P10:P11"/>
    <mergeCell ref="R9:R11"/>
    <mergeCell ref="G10:I10"/>
    <mergeCell ref="S9:X9"/>
    <mergeCell ref="S40:X40"/>
    <mergeCell ref="S10:S11"/>
    <mergeCell ref="X10:X11"/>
    <mergeCell ref="C4:Y4"/>
    <mergeCell ref="C5:Y5"/>
    <mergeCell ref="C6:Y6"/>
    <mergeCell ref="N10:N11"/>
    <mergeCell ref="O10:O11"/>
    <mergeCell ref="T10:T11"/>
    <mergeCell ref="U10:U11"/>
    <mergeCell ref="W10:W11"/>
    <mergeCell ref="V10:V11"/>
    <mergeCell ref="M10:M11"/>
    <mergeCell ref="B9:B11"/>
    <mergeCell ref="C9:C11"/>
    <mergeCell ref="K10:K11"/>
    <mergeCell ref="L10:L11"/>
    <mergeCell ref="F9:J9"/>
    <mergeCell ref="D9:E10"/>
    <mergeCell ref="F10:F11"/>
    <mergeCell ref="J10:J11"/>
    <mergeCell ref="K9:P9"/>
  </mergeCells>
  <printOptions horizontalCentered="1" verticalCentered="1"/>
  <pageMargins left="0.19685039370078741" right="0.19685039370078741" top="0" bottom="0" header="0.31496062992125984" footer="0.31496062992125984"/>
  <pageSetup scale="4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106"/>
  <sheetViews>
    <sheetView workbookViewId="0">
      <selection sqref="A1:U102"/>
    </sheetView>
  </sheetViews>
  <sheetFormatPr baseColWidth="10" defaultRowHeight="15"/>
  <cols>
    <col min="2" max="2" width="13.28515625" customWidth="1"/>
    <col min="3" max="3" width="19.7109375" customWidth="1"/>
    <col min="4" max="4" width="13.7109375" hidden="1" customWidth="1"/>
    <col min="5" max="5" width="8.140625" customWidth="1"/>
    <col min="6" max="6" width="40.85546875" customWidth="1"/>
    <col min="7" max="7" width="16.5703125" customWidth="1"/>
    <col min="8" max="8" width="12.140625" hidden="1" customWidth="1"/>
    <col min="9" max="9" width="16.140625" customWidth="1"/>
    <col min="10" max="10" width="1.7109375" hidden="1" customWidth="1"/>
    <col min="11" max="11" width="13.85546875" customWidth="1"/>
    <col min="12" max="12" width="17" hidden="1" customWidth="1"/>
    <col min="13" max="13" width="13.85546875" customWidth="1"/>
    <col min="14" max="14" width="10.85546875" style="360" customWidth="1"/>
    <col min="15" max="15" width="10.28515625" style="287" customWidth="1"/>
    <col min="16" max="16" width="8.28515625" customWidth="1"/>
    <col min="17" max="17" width="9.5703125" customWidth="1"/>
    <col min="18" max="18" width="15" customWidth="1"/>
    <col min="19" max="19" width="12.140625" customWidth="1"/>
    <col min="20" max="20" width="12.85546875" customWidth="1"/>
    <col min="21" max="21" width="11.42578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12"/>
    </row>
    <row r="2" spans="1:23" ht="51" customHeight="1">
      <c r="A2" s="460"/>
      <c r="B2" s="460"/>
      <c r="C2" s="463" t="s">
        <v>53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</row>
    <row r="3" spans="1:23" ht="51" customHeight="1">
      <c r="A3" s="460"/>
      <c r="B3" s="460"/>
      <c r="C3" s="464" t="s">
        <v>66</v>
      </c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</row>
    <row r="4" spans="1:23" ht="15.75" thickBot="1">
      <c r="A4" s="11"/>
      <c r="B4" s="11"/>
      <c r="F4" s="12"/>
      <c r="M4" s="11"/>
    </row>
    <row r="5" spans="1:23" s="30" customFormat="1" ht="24.95" customHeight="1">
      <c r="A5" s="461" t="s">
        <v>39</v>
      </c>
      <c r="B5" s="462"/>
      <c r="C5" s="40">
        <v>171738842.34</v>
      </c>
      <c r="D5" s="37"/>
      <c r="E5" s="35"/>
      <c r="F5" s="35"/>
      <c r="M5" s="36"/>
      <c r="N5" s="27"/>
      <c r="O5" s="27"/>
    </row>
    <row r="6" spans="1:23" s="30" customFormat="1" ht="24.95" customHeight="1">
      <c r="A6" s="458" t="s">
        <v>52</v>
      </c>
      <c r="B6" s="459"/>
      <c r="C6" s="41">
        <f>G99</f>
        <v>157401622.54999995</v>
      </c>
      <c r="D6" s="38"/>
      <c r="E6" s="35"/>
      <c r="F6" s="35"/>
      <c r="M6" s="36"/>
      <c r="N6" s="27"/>
      <c r="O6" s="27"/>
    </row>
    <row r="7" spans="1:23" s="30" customFormat="1" ht="24.95" customHeight="1">
      <c r="A7" s="458" t="s">
        <v>5</v>
      </c>
      <c r="B7" s="459"/>
      <c r="C7" s="41">
        <f>I99</f>
        <v>137919278.41</v>
      </c>
      <c r="D7" s="38"/>
      <c r="E7" s="35"/>
      <c r="F7" s="35"/>
      <c r="M7" s="36"/>
      <c r="N7" s="27"/>
      <c r="O7" s="27"/>
    </row>
    <row r="8" spans="1:23" s="30" customFormat="1" ht="24.95" customHeight="1" thickBot="1">
      <c r="A8" s="450" t="s">
        <v>12</v>
      </c>
      <c r="B8" s="451"/>
      <c r="C8" s="63">
        <f>C6-C7</f>
        <v>19482344.139999956</v>
      </c>
      <c r="D8" s="39"/>
      <c r="E8" s="35"/>
      <c r="F8" s="271"/>
      <c r="G8" s="35"/>
      <c r="H8" s="35"/>
      <c r="I8" s="35"/>
      <c r="M8" s="36"/>
      <c r="N8" s="27"/>
      <c r="O8" s="27"/>
    </row>
    <row r="9" spans="1:23" s="79" customFormat="1" ht="25.5" customHeight="1" thickTop="1" thickBot="1">
      <c r="A9" s="73"/>
      <c r="B9" s="73"/>
      <c r="C9" s="73"/>
      <c r="D9" s="73"/>
      <c r="E9" s="74"/>
      <c r="F9" s="73"/>
      <c r="G9" s="452" t="s">
        <v>13</v>
      </c>
      <c r="H9" s="453"/>
      <c r="I9" s="454" t="s">
        <v>14</v>
      </c>
      <c r="J9" s="453"/>
      <c r="K9" s="455" t="s">
        <v>15</v>
      </c>
      <c r="L9" s="455"/>
      <c r="M9" s="75"/>
      <c r="N9" s="78"/>
      <c r="O9" s="76"/>
      <c r="P9" s="77"/>
      <c r="Q9" s="77"/>
      <c r="R9" s="77"/>
      <c r="S9" s="78"/>
      <c r="T9" s="76"/>
      <c r="U9" s="259" t="s">
        <v>878</v>
      </c>
      <c r="V9" s="76"/>
    </row>
    <row r="10" spans="1:23" s="79" customFormat="1" ht="42" customHeight="1" thickTop="1" thickBot="1">
      <c r="A10" s="80" t="s">
        <v>16</v>
      </c>
      <c r="B10" s="81" t="s">
        <v>17</v>
      </c>
      <c r="C10" s="81" t="s">
        <v>18</v>
      </c>
      <c r="D10" s="81" t="s">
        <v>19</v>
      </c>
      <c r="E10" s="82" t="s">
        <v>20</v>
      </c>
      <c r="F10" s="81" t="s">
        <v>21</v>
      </c>
      <c r="G10" s="83" t="s">
        <v>22</v>
      </c>
      <c r="H10" s="83" t="s">
        <v>23</v>
      </c>
      <c r="I10" s="83" t="s">
        <v>22</v>
      </c>
      <c r="J10" s="83" t="s">
        <v>23</v>
      </c>
      <c r="K10" s="83" t="s">
        <v>22</v>
      </c>
      <c r="L10" s="84" t="s">
        <v>23</v>
      </c>
      <c r="M10" s="81" t="s">
        <v>24</v>
      </c>
      <c r="N10" s="81" t="s">
        <v>25</v>
      </c>
      <c r="O10" s="81" t="s">
        <v>26</v>
      </c>
      <c r="P10" s="456" t="s">
        <v>27</v>
      </c>
      <c r="Q10" s="457"/>
      <c r="R10" s="361" t="s">
        <v>28</v>
      </c>
      <c r="S10" s="81" t="s">
        <v>29</v>
      </c>
      <c r="T10" s="81" t="s">
        <v>30</v>
      </c>
      <c r="U10" s="85" t="s">
        <v>31</v>
      </c>
      <c r="V10" s="86"/>
    </row>
    <row r="11" spans="1:23" s="79" customFormat="1" ht="29.25" thickTop="1">
      <c r="A11" s="321" t="s">
        <v>230</v>
      </c>
      <c r="B11" s="322">
        <v>43696</v>
      </c>
      <c r="C11" s="323" t="s">
        <v>803</v>
      </c>
      <c r="D11" s="324" t="s">
        <v>41</v>
      </c>
      <c r="E11" s="325" t="s">
        <v>35</v>
      </c>
      <c r="F11" s="326" t="s">
        <v>80</v>
      </c>
      <c r="G11" s="327">
        <f t="shared" ref="G11:G96" si="0">H11</f>
        <v>6869320</v>
      </c>
      <c r="H11" s="328">
        <v>6869320</v>
      </c>
      <c r="I11" s="327">
        <f t="shared" ref="I11:I96" si="1">J11</f>
        <v>6055728</v>
      </c>
      <c r="J11" s="328">
        <f>206150+3642299.98+674267.8+231313.97+255881.98+309409.76+660808.51+75596</f>
        <v>6055728</v>
      </c>
      <c r="K11" s="327">
        <f t="shared" ref="K11:K96" si="2">L11</f>
        <v>813592</v>
      </c>
      <c r="L11" s="329">
        <f t="shared" ref="L11:L96" si="3">H11-J11</f>
        <v>813592</v>
      </c>
      <c r="M11" s="330" t="s">
        <v>36</v>
      </c>
      <c r="N11" s="331">
        <f t="shared" ref="N11:N96" si="4">I11/G11</f>
        <v>0.88156149371407944</v>
      </c>
      <c r="O11" s="331">
        <v>0.91790000000000005</v>
      </c>
      <c r="P11" s="332" t="s">
        <v>32</v>
      </c>
      <c r="Q11" s="333">
        <v>1</v>
      </c>
      <c r="R11" s="334">
        <v>877190</v>
      </c>
      <c r="S11" s="100" t="s">
        <v>81</v>
      </c>
      <c r="T11" s="100" t="s">
        <v>81</v>
      </c>
      <c r="U11" s="121" t="s">
        <v>81</v>
      </c>
      <c r="V11" s="140"/>
      <c r="W11" s="140"/>
    </row>
    <row r="12" spans="1:23" s="79" customFormat="1" ht="57">
      <c r="A12" s="87" t="s">
        <v>230</v>
      </c>
      <c r="B12" s="88">
        <v>43677</v>
      </c>
      <c r="C12" s="89" t="s">
        <v>686</v>
      </c>
      <c r="D12" s="90" t="s">
        <v>82</v>
      </c>
      <c r="E12" s="91" t="s">
        <v>83</v>
      </c>
      <c r="F12" s="92" t="s">
        <v>84</v>
      </c>
      <c r="G12" s="93">
        <f t="shared" si="0"/>
        <v>477953.96</v>
      </c>
      <c r="H12" s="94">
        <v>477953.96</v>
      </c>
      <c r="I12" s="93">
        <f t="shared" si="1"/>
        <v>477953.96</v>
      </c>
      <c r="J12" s="94">
        <f>143386.18+273923.71+60644.07</f>
        <v>477953.96</v>
      </c>
      <c r="K12" s="93">
        <f t="shared" si="2"/>
        <v>0</v>
      </c>
      <c r="L12" s="95">
        <f t="shared" si="3"/>
        <v>0</v>
      </c>
      <c r="M12" s="96" t="s">
        <v>36</v>
      </c>
      <c r="N12" s="120">
        <f t="shared" si="4"/>
        <v>1</v>
      </c>
      <c r="O12" s="120">
        <v>1</v>
      </c>
      <c r="P12" s="97" t="s">
        <v>85</v>
      </c>
      <c r="Q12" s="98">
        <v>1530.72</v>
      </c>
      <c r="R12" s="99">
        <v>500000</v>
      </c>
      <c r="S12" s="101" t="s">
        <v>149</v>
      </c>
      <c r="T12" s="101" t="s">
        <v>263</v>
      </c>
      <c r="U12" s="102" t="s">
        <v>264</v>
      </c>
      <c r="V12" s="140"/>
      <c r="W12" s="140"/>
    </row>
    <row r="13" spans="1:23" s="79" customFormat="1" ht="57.75">
      <c r="A13" s="87" t="s">
        <v>230</v>
      </c>
      <c r="B13" s="88">
        <v>43507</v>
      </c>
      <c r="C13" s="89" t="s">
        <v>86</v>
      </c>
      <c r="D13" s="90" t="s">
        <v>82</v>
      </c>
      <c r="E13" s="91" t="s">
        <v>87</v>
      </c>
      <c r="F13" s="92" t="s">
        <v>687</v>
      </c>
      <c r="G13" s="93">
        <f t="shared" si="0"/>
        <v>0</v>
      </c>
      <c r="H13" s="94">
        <v>0</v>
      </c>
      <c r="I13" s="93">
        <f t="shared" si="1"/>
        <v>0</v>
      </c>
      <c r="J13" s="94">
        <f>0</f>
        <v>0</v>
      </c>
      <c r="K13" s="93">
        <f t="shared" si="2"/>
        <v>0</v>
      </c>
      <c r="L13" s="95">
        <f t="shared" si="3"/>
        <v>0</v>
      </c>
      <c r="M13" s="96" t="s">
        <v>36</v>
      </c>
      <c r="N13" s="120" t="s">
        <v>993</v>
      </c>
      <c r="O13" s="120" t="s">
        <v>993</v>
      </c>
      <c r="P13" s="97" t="s">
        <v>85</v>
      </c>
      <c r="Q13" s="98">
        <v>2541.56</v>
      </c>
      <c r="R13" s="99">
        <v>1000</v>
      </c>
      <c r="S13" s="101" t="s">
        <v>33</v>
      </c>
      <c r="T13" s="101" t="s">
        <v>33</v>
      </c>
      <c r="U13" s="102" t="s">
        <v>34</v>
      </c>
      <c r="V13" s="140"/>
      <c r="W13" s="140"/>
    </row>
    <row r="14" spans="1:23" s="79" customFormat="1" ht="85.5">
      <c r="A14" s="87" t="s">
        <v>230</v>
      </c>
      <c r="B14" s="88">
        <v>43711</v>
      </c>
      <c r="C14" s="89" t="s">
        <v>967</v>
      </c>
      <c r="D14" s="90" t="s">
        <v>82</v>
      </c>
      <c r="E14" s="91" t="s">
        <v>88</v>
      </c>
      <c r="F14" s="92" t="s">
        <v>89</v>
      </c>
      <c r="G14" s="93">
        <f t="shared" si="0"/>
        <v>727654.88</v>
      </c>
      <c r="H14" s="94">
        <v>727654.88</v>
      </c>
      <c r="I14" s="93">
        <f t="shared" si="1"/>
        <v>669263.35000000009</v>
      </c>
      <c r="J14" s="94">
        <f>218655.7+450607.65</f>
        <v>669263.35000000009</v>
      </c>
      <c r="K14" s="93">
        <f t="shared" si="2"/>
        <v>58391.529999999912</v>
      </c>
      <c r="L14" s="95">
        <f t="shared" si="3"/>
        <v>58391.529999999912</v>
      </c>
      <c r="M14" s="96" t="s">
        <v>36</v>
      </c>
      <c r="N14" s="120">
        <f t="shared" si="4"/>
        <v>0.91975381241173026</v>
      </c>
      <c r="O14" s="120">
        <v>1</v>
      </c>
      <c r="P14" s="97" t="s">
        <v>85</v>
      </c>
      <c r="Q14" s="98">
        <v>5954.45</v>
      </c>
      <c r="R14" s="99">
        <v>400000</v>
      </c>
      <c r="S14" s="101" t="s">
        <v>149</v>
      </c>
      <c r="T14" s="101" t="s">
        <v>265</v>
      </c>
      <c r="U14" s="102" t="s">
        <v>266</v>
      </c>
      <c r="V14" s="140"/>
      <c r="W14" s="140"/>
    </row>
    <row r="15" spans="1:23" s="79" customFormat="1" ht="71.25">
      <c r="A15" s="87" t="s">
        <v>230</v>
      </c>
      <c r="B15" s="88">
        <v>43629</v>
      </c>
      <c r="C15" s="89" t="s">
        <v>588</v>
      </c>
      <c r="D15" s="90"/>
      <c r="E15" s="91" t="s">
        <v>234</v>
      </c>
      <c r="F15" s="92" t="s">
        <v>235</v>
      </c>
      <c r="G15" s="93">
        <f t="shared" si="0"/>
        <v>1454776.68</v>
      </c>
      <c r="H15" s="94">
        <v>1454776.68</v>
      </c>
      <c r="I15" s="93">
        <f t="shared" si="1"/>
        <v>1454776.68</v>
      </c>
      <c r="J15" s="94">
        <f>424859.91+991338.24+38578.53</f>
        <v>1454776.68</v>
      </c>
      <c r="K15" s="93">
        <f t="shared" si="2"/>
        <v>0</v>
      </c>
      <c r="L15" s="95">
        <f t="shared" si="3"/>
        <v>0</v>
      </c>
      <c r="M15" s="96" t="s">
        <v>36</v>
      </c>
      <c r="N15" s="120">
        <f t="shared" si="4"/>
        <v>1</v>
      </c>
      <c r="O15" s="120">
        <v>1</v>
      </c>
      <c r="P15" s="97" t="s">
        <v>85</v>
      </c>
      <c r="Q15" s="98">
        <v>4909.3999999999996</v>
      </c>
      <c r="R15" s="99">
        <v>200000</v>
      </c>
      <c r="S15" s="101" t="s">
        <v>143</v>
      </c>
      <c r="T15" s="101" t="s">
        <v>267</v>
      </c>
      <c r="U15" s="102" t="s">
        <v>268</v>
      </c>
      <c r="V15" s="140"/>
      <c r="W15" s="140"/>
    </row>
    <row r="16" spans="1:23" s="79" customFormat="1" ht="85.5">
      <c r="A16" s="87" t="s">
        <v>230</v>
      </c>
      <c r="B16" s="88">
        <v>43629</v>
      </c>
      <c r="C16" s="89" t="s">
        <v>589</v>
      </c>
      <c r="D16" s="90" t="s">
        <v>82</v>
      </c>
      <c r="E16" s="91" t="s">
        <v>90</v>
      </c>
      <c r="F16" s="92" t="s">
        <v>91</v>
      </c>
      <c r="G16" s="93">
        <f t="shared" si="0"/>
        <v>1999999.98</v>
      </c>
      <c r="H16" s="94">
        <v>1999999.98</v>
      </c>
      <c r="I16" s="93">
        <f t="shared" si="1"/>
        <v>1999999.98</v>
      </c>
      <c r="J16" s="94">
        <f>590923.28+1378820.95+30255.75</f>
        <v>1999999.98</v>
      </c>
      <c r="K16" s="93">
        <f t="shared" si="2"/>
        <v>0</v>
      </c>
      <c r="L16" s="95">
        <f t="shared" si="3"/>
        <v>0</v>
      </c>
      <c r="M16" s="96" t="s">
        <v>36</v>
      </c>
      <c r="N16" s="120">
        <f t="shared" si="4"/>
        <v>1</v>
      </c>
      <c r="O16" s="120">
        <v>1</v>
      </c>
      <c r="P16" s="97" t="s">
        <v>85</v>
      </c>
      <c r="Q16" s="98">
        <v>6147.24</v>
      </c>
      <c r="R16" s="99">
        <v>200000</v>
      </c>
      <c r="S16" s="101" t="s">
        <v>143</v>
      </c>
      <c r="T16" s="101" t="s">
        <v>269</v>
      </c>
      <c r="U16" s="102" t="s">
        <v>270</v>
      </c>
      <c r="V16" s="140"/>
      <c r="W16" s="140"/>
    </row>
    <row r="17" spans="1:23" s="79" customFormat="1" ht="57">
      <c r="A17" s="87" t="s">
        <v>230</v>
      </c>
      <c r="B17" s="88">
        <v>43629</v>
      </c>
      <c r="C17" s="89" t="s">
        <v>590</v>
      </c>
      <c r="D17" s="90" t="s">
        <v>82</v>
      </c>
      <c r="E17" s="91" t="s">
        <v>92</v>
      </c>
      <c r="F17" s="92" t="s">
        <v>93</v>
      </c>
      <c r="G17" s="93">
        <f t="shared" si="0"/>
        <v>1992419.86</v>
      </c>
      <c r="H17" s="94">
        <v>1992419.86</v>
      </c>
      <c r="I17" s="93">
        <f t="shared" si="1"/>
        <v>1992419.8599999999</v>
      </c>
      <c r="J17" s="94">
        <f>586391.84+363419.83+1004827.79+37780.4</f>
        <v>1992419.8599999999</v>
      </c>
      <c r="K17" s="93">
        <f t="shared" si="2"/>
        <v>0</v>
      </c>
      <c r="L17" s="95">
        <f t="shared" si="3"/>
        <v>0</v>
      </c>
      <c r="M17" s="96" t="s">
        <v>36</v>
      </c>
      <c r="N17" s="120">
        <f t="shared" si="4"/>
        <v>0.99999999999999989</v>
      </c>
      <c r="O17" s="120">
        <v>1</v>
      </c>
      <c r="P17" s="97" t="s">
        <v>85</v>
      </c>
      <c r="Q17" s="98">
        <v>6505.5</v>
      </c>
      <c r="R17" s="99">
        <v>200000</v>
      </c>
      <c r="S17" s="101" t="s">
        <v>143</v>
      </c>
      <c r="T17" s="101" t="s">
        <v>271</v>
      </c>
      <c r="U17" s="102" t="s">
        <v>272</v>
      </c>
      <c r="V17" s="140"/>
      <c r="W17" s="140"/>
    </row>
    <row r="18" spans="1:23" s="79" customFormat="1" ht="114">
      <c r="A18" s="87" t="s">
        <v>230</v>
      </c>
      <c r="B18" s="88">
        <v>43507</v>
      </c>
      <c r="C18" s="89" t="s">
        <v>94</v>
      </c>
      <c r="D18" s="90" t="s">
        <v>82</v>
      </c>
      <c r="E18" s="91" t="s">
        <v>95</v>
      </c>
      <c r="F18" s="92" t="s">
        <v>96</v>
      </c>
      <c r="G18" s="93">
        <f t="shared" si="0"/>
        <v>1980489.63</v>
      </c>
      <c r="H18" s="94">
        <v>1980489.63</v>
      </c>
      <c r="I18" s="93">
        <f t="shared" si="1"/>
        <v>1946647.83</v>
      </c>
      <c r="J18" s="94">
        <f>573465+914115.41+292552.67+166514.75</f>
        <v>1946647.83</v>
      </c>
      <c r="K18" s="93">
        <f t="shared" si="2"/>
        <v>33841.799999999814</v>
      </c>
      <c r="L18" s="95">
        <f t="shared" si="3"/>
        <v>33841.799999999814</v>
      </c>
      <c r="M18" s="96" t="s">
        <v>36</v>
      </c>
      <c r="N18" s="120">
        <f t="shared" si="4"/>
        <v>0.98291240737271635</v>
      </c>
      <c r="O18" s="120">
        <v>1</v>
      </c>
      <c r="P18" s="97" t="s">
        <v>85</v>
      </c>
      <c r="Q18" s="98">
        <v>5156</v>
      </c>
      <c r="R18" s="99">
        <v>200000</v>
      </c>
      <c r="S18" s="101" t="s">
        <v>143</v>
      </c>
      <c r="T18" s="101" t="s">
        <v>404</v>
      </c>
      <c r="U18" s="102" t="s">
        <v>405</v>
      </c>
      <c r="V18" s="140"/>
      <c r="W18" s="140"/>
    </row>
    <row r="19" spans="1:23" s="79" customFormat="1" ht="85.5">
      <c r="A19" s="87" t="s">
        <v>230</v>
      </c>
      <c r="B19" s="88">
        <v>43507</v>
      </c>
      <c r="C19" s="89" t="s">
        <v>97</v>
      </c>
      <c r="D19" s="90" t="s">
        <v>82</v>
      </c>
      <c r="E19" s="91" t="s">
        <v>98</v>
      </c>
      <c r="F19" s="92" t="s">
        <v>99</v>
      </c>
      <c r="G19" s="93">
        <f t="shared" si="0"/>
        <v>2529073.37</v>
      </c>
      <c r="H19" s="94">
        <v>2529073.37</v>
      </c>
      <c r="I19" s="93">
        <f t="shared" si="1"/>
        <v>2509469.0299999998</v>
      </c>
      <c r="J19" s="94">
        <f>728942.87+1682167.63+98358.53</f>
        <v>2509469.0299999998</v>
      </c>
      <c r="K19" s="93">
        <f t="shared" si="2"/>
        <v>19604.340000000317</v>
      </c>
      <c r="L19" s="95">
        <f t="shared" si="3"/>
        <v>19604.340000000317</v>
      </c>
      <c r="M19" s="96" t="s">
        <v>36</v>
      </c>
      <c r="N19" s="120">
        <f t="shared" si="4"/>
        <v>0.99224840993837982</v>
      </c>
      <c r="O19" s="120">
        <v>1</v>
      </c>
      <c r="P19" s="97" t="s">
        <v>85</v>
      </c>
      <c r="Q19" s="98">
        <v>7688</v>
      </c>
      <c r="R19" s="99">
        <v>200000</v>
      </c>
      <c r="S19" s="101" t="s">
        <v>143</v>
      </c>
      <c r="T19" s="101" t="s">
        <v>284</v>
      </c>
      <c r="U19" s="102" t="s">
        <v>406</v>
      </c>
      <c r="V19" s="140"/>
      <c r="W19" s="140"/>
    </row>
    <row r="20" spans="1:23" s="79" customFormat="1" ht="85.5">
      <c r="A20" s="87" t="s">
        <v>230</v>
      </c>
      <c r="B20" s="88">
        <v>43711</v>
      </c>
      <c r="C20" s="89" t="s">
        <v>968</v>
      </c>
      <c r="D20" s="90" t="s">
        <v>82</v>
      </c>
      <c r="E20" s="91" t="s">
        <v>100</v>
      </c>
      <c r="F20" s="92" t="s">
        <v>101</v>
      </c>
      <c r="G20" s="93">
        <f t="shared" si="0"/>
        <v>841238.92</v>
      </c>
      <c r="H20" s="94">
        <v>841238.92</v>
      </c>
      <c r="I20" s="93">
        <f t="shared" si="1"/>
        <v>689549.36</v>
      </c>
      <c r="J20" s="94">
        <f>252383.61+437165.75</f>
        <v>689549.36</v>
      </c>
      <c r="K20" s="93">
        <f t="shared" si="2"/>
        <v>151689.56000000006</v>
      </c>
      <c r="L20" s="95">
        <f t="shared" si="3"/>
        <v>151689.56000000006</v>
      </c>
      <c r="M20" s="96" t="s">
        <v>36</v>
      </c>
      <c r="N20" s="120">
        <f t="shared" si="4"/>
        <v>0.81968314067066694</v>
      </c>
      <c r="O20" s="120">
        <v>1</v>
      </c>
      <c r="P20" s="97" t="s">
        <v>85</v>
      </c>
      <c r="Q20" s="98">
        <v>5941.48</v>
      </c>
      <c r="R20" s="99">
        <v>400000</v>
      </c>
      <c r="S20" s="101" t="s">
        <v>149</v>
      </c>
      <c r="T20" s="101" t="s">
        <v>265</v>
      </c>
      <c r="U20" s="102" t="s">
        <v>273</v>
      </c>
      <c r="V20" s="140"/>
      <c r="W20" s="140"/>
    </row>
    <row r="21" spans="1:23" s="79" customFormat="1" ht="71.25">
      <c r="A21" s="87" t="s">
        <v>230</v>
      </c>
      <c r="B21" s="88">
        <v>43711</v>
      </c>
      <c r="C21" s="89" t="s">
        <v>969</v>
      </c>
      <c r="D21" s="90" t="s">
        <v>82</v>
      </c>
      <c r="E21" s="91" t="s">
        <v>102</v>
      </c>
      <c r="F21" s="92" t="s">
        <v>103</v>
      </c>
      <c r="G21" s="93">
        <f t="shared" si="0"/>
        <v>927592.9</v>
      </c>
      <c r="H21" s="94">
        <v>927592.9</v>
      </c>
      <c r="I21" s="93">
        <f t="shared" si="1"/>
        <v>927592.89999999991</v>
      </c>
      <c r="J21" s="94">
        <f>292284.51+547640.69+87667.7</f>
        <v>927592.89999999991</v>
      </c>
      <c r="K21" s="93">
        <f t="shared" si="2"/>
        <v>0</v>
      </c>
      <c r="L21" s="95">
        <f t="shared" si="3"/>
        <v>0</v>
      </c>
      <c r="M21" s="96" t="s">
        <v>36</v>
      </c>
      <c r="N21" s="120">
        <f t="shared" si="4"/>
        <v>0.99999999999999989</v>
      </c>
      <c r="O21" s="120">
        <v>1</v>
      </c>
      <c r="P21" s="97" t="s">
        <v>85</v>
      </c>
      <c r="Q21" s="98">
        <v>1135.45</v>
      </c>
      <c r="R21" s="99">
        <v>200000</v>
      </c>
      <c r="S21" s="101" t="s">
        <v>149</v>
      </c>
      <c r="T21" s="101" t="s">
        <v>263</v>
      </c>
      <c r="U21" s="102" t="s">
        <v>274</v>
      </c>
      <c r="V21" s="140"/>
      <c r="W21" s="140"/>
    </row>
    <row r="22" spans="1:23" s="79" customFormat="1" ht="85.5">
      <c r="A22" s="87" t="s">
        <v>230</v>
      </c>
      <c r="B22" s="88">
        <v>43670</v>
      </c>
      <c r="C22" s="89" t="s">
        <v>688</v>
      </c>
      <c r="D22" s="90" t="s">
        <v>82</v>
      </c>
      <c r="E22" s="91" t="s">
        <v>104</v>
      </c>
      <c r="F22" s="92" t="s">
        <v>105</v>
      </c>
      <c r="G22" s="93">
        <f t="shared" si="0"/>
        <v>2610725.11</v>
      </c>
      <c r="H22" s="94">
        <v>2610725.11</v>
      </c>
      <c r="I22" s="93">
        <f t="shared" si="1"/>
        <v>2610725.11</v>
      </c>
      <c r="J22" s="94">
        <f>767955.12+1609329.19+233440.8</f>
        <v>2610725.11</v>
      </c>
      <c r="K22" s="93">
        <f t="shared" si="2"/>
        <v>0</v>
      </c>
      <c r="L22" s="95">
        <f t="shared" si="3"/>
        <v>0</v>
      </c>
      <c r="M22" s="96" t="s">
        <v>36</v>
      </c>
      <c r="N22" s="120">
        <f t="shared" si="4"/>
        <v>1</v>
      </c>
      <c r="O22" s="120">
        <v>1</v>
      </c>
      <c r="P22" s="97" t="s">
        <v>85</v>
      </c>
      <c r="Q22" s="98">
        <v>3247.46</v>
      </c>
      <c r="R22" s="99">
        <v>200000</v>
      </c>
      <c r="S22" s="101" t="s">
        <v>143</v>
      </c>
      <c r="T22" s="101" t="s">
        <v>265</v>
      </c>
      <c r="U22" s="102" t="s">
        <v>275</v>
      </c>
      <c r="V22" s="140"/>
      <c r="W22" s="140"/>
    </row>
    <row r="23" spans="1:23" s="79" customFormat="1" ht="71.25">
      <c r="A23" s="87" t="s">
        <v>230</v>
      </c>
      <c r="B23" s="88">
        <v>43731</v>
      </c>
      <c r="C23" s="89" t="s">
        <v>970</v>
      </c>
      <c r="D23" s="90" t="s">
        <v>82</v>
      </c>
      <c r="E23" s="91" t="s">
        <v>106</v>
      </c>
      <c r="F23" s="92" t="s">
        <v>107</v>
      </c>
      <c r="G23" s="93">
        <f t="shared" si="0"/>
        <v>2011793.98</v>
      </c>
      <c r="H23" s="94">
        <v>2011793.98</v>
      </c>
      <c r="I23" s="93">
        <f t="shared" si="1"/>
        <v>2011793.98</v>
      </c>
      <c r="J23" s="94">
        <f>591005.45+1364836.78+55951.75</f>
        <v>2011793.98</v>
      </c>
      <c r="K23" s="93">
        <f t="shared" si="2"/>
        <v>0</v>
      </c>
      <c r="L23" s="95">
        <f t="shared" si="3"/>
        <v>0</v>
      </c>
      <c r="M23" s="96" t="s">
        <v>36</v>
      </c>
      <c r="N23" s="120">
        <f t="shared" si="4"/>
        <v>1</v>
      </c>
      <c r="O23" s="120">
        <v>1</v>
      </c>
      <c r="P23" s="97" t="s">
        <v>85</v>
      </c>
      <c r="Q23" s="98">
        <v>5769.85</v>
      </c>
      <c r="R23" s="99">
        <v>400000</v>
      </c>
      <c r="S23" s="101" t="s">
        <v>143</v>
      </c>
      <c r="T23" s="101" t="s">
        <v>276</v>
      </c>
      <c r="U23" s="102" t="s">
        <v>277</v>
      </c>
      <c r="V23" s="140"/>
      <c r="W23" s="140"/>
    </row>
    <row r="24" spans="1:23" s="79" customFormat="1" ht="57.75" customHeight="1">
      <c r="A24" s="87" t="s">
        <v>230</v>
      </c>
      <c r="B24" s="88">
        <v>43504</v>
      </c>
      <c r="C24" s="89" t="s">
        <v>108</v>
      </c>
      <c r="D24" s="90" t="s">
        <v>41</v>
      </c>
      <c r="E24" s="91" t="s">
        <v>109</v>
      </c>
      <c r="F24" s="92" t="s">
        <v>110</v>
      </c>
      <c r="G24" s="93">
        <f t="shared" si="0"/>
        <v>518973.15</v>
      </c>
      <c r="H24" s="94">
        <v>518973.15</v>
      </c>
      <c r="I24" s="93">
        <f t="shared" si="1"/>
        <v>442738.36</v>
      </c>
      <c r="J24" s="94">
        <f>155600.39+287137.97</f>
        <v>442738.36</v>
      </c>
      <c r="K24" s="93">
        <f t="shared" si="2"/>
        <v>76234.790000000037</v>
      </c>
      <c r="L24" s="95">
        <f t="shared" si="3"/>
        <v>76234.790000000037</v>
      </c>
      <c r="M24" s="96" t="s">
        <v>36</v>
      </c>
      <c r="N24" s="120">
        <f t="shared" si="4"/>
        <v>0.85310455849209144</v>
      </c>
      <c r="O24" s="120">
        <v>1</v>
      </c>
      <c r="P24" s="97" t="s">
        <v>32</v>
      </c>
      <c r="Q24" s="98">
        <v>1</v>
      </c>
      <c r="R24" s="99">
        <v>100</v>
      </c>
      <c r="S24" s="101" t="s">
        <v>149</v>
      </c>
      <c r="T24" s="101" t="s">
        <v>407</v>
      </c>
      <c r="U24" s="102" t="s">
        <v>408</v>
      </c>
      <c r="V24" s="140"/>
      <c r="W24" s="140"/>
    </row>
    <row r="25" spans="1:23" s="79" customFormat="1" ht="43.5">
      <c r="A25" s="87" t="s">
        <v>230</v>
      </c>
      <c r="B25" s="88">
        <v>43648</v>
      </c>
      <c r="C25" s="89" t="s">
        <v>689</v>
      </c>
      <c r="D25" s="90" t="s">
        <v>82</v>
      </c>
      <c r="E25" s="91" t="s">
        <v>111</v>
      </c>
      <c r="F25" s="92" t="s">
        <v>112</v>
      </c>
      <c r="G25" s="93">
        <f t="shared" si="0"/>
        <v>1200000</v>
      </c>
      <c r="H25" s="94">
        <v>1200000</v>
      </c>
      <c r="I25" s="93">
        <f t="shared" si="1"/>
        <v>1200000</v>
      </c>
      <c r="J25" s="94">
        <f>341467.96+607550.37+236615.73+14365.94</f>
        <v>1200000</v>
      </c>
      <c r="K25" s="93">
        <f t="shared" si="2"/>
        <v>0</v>
      </c>
      <c r="L25" s="95">
        <f t="shared" si="3"/>
        <v>0</v>
      </c>
      <c r="M25" s="96" t="s">
        <v>36</v>
      </c>
      <c r="N25" s="120">
        <f t="shared" si="4"/>
        <v>1</v>
      </c>
      <c r="O25" s="120">
        <v>1</v>
      </c>
      <c r="P25" s="97" t="s">
        <v>32</v>
      </c>
      <c r="Q25" s="98">
        <v>1</v>
      </c>
      <c r="R25" s="99">
        <v>3120</v>
      </c>
      <c r="S25" s="101" t="s">
        <v>143</v>
      </c>
      <c r="T25" s="101" t="s">
        <v>278</v>
      </c>
      <c r="U25" s="102" t="s">
        <v>279</v>
      </c>
      <c r="V25" s="140"/>
      <c r="W25" s="140"/>
    </row>
    <row r="26" spans="1:23" s="79" customFormat="1" ht="73.5" customHeight="1">
      <c r="A26" s="87" t="s">
        <v>230</v>
      </c>
      <c r="B26" s="88">
        <v>43733</v>
      </c>
      <c r="C26" s="89" t="s">
        <v>971</v>
      </c>
      <c r="D26" s="90" t="s">
        <v>82</v>
      </c>
      <c r="E26" s="91" t="s">
        <v>113</v>
      </c>
      <c r="F26" s="103" t="s">
        <v>114</v>
      </c>
      <c r="G26" s="93">
        <f t="shared" si="0"/>
        <v>1102610.5</v>
      </c>
      <c r="H26" s="94">
        <v>1102610.5</v>
      </c>
      <c r="I26" s="93">
        <f t="shared" si="1"/>
        <v>1102610.5</v>
      </c>
      <c r="J26" s="94">
        <f>330783.15+332890.84+408396.73+30539.78</f>
        <v>1102610.5</v>
      </c>
      <c r="K26" s="93">
        <f t="shared" si="2"/>
        <v>0</v>
      </c>
      <c r="L26" s="95">
        <f t="shared" si="3"/>
        <v>0</v>
      </c>
      <c r="M26" s="96" t="s">
        <v>36</v>
      </c>
      <c r="N26" s="120">
        <f t="shared" si="4"/>
        <v>1</v>
      </c>
      <c r="O26" s="120">
        <v>1</v>
      </c>
      <c r="P26" s="97" t="s">
        <v>85</v>
      </c>
      <c r="Q26" s="98">
        <v>1180</v>
      </c>
      <c r="R26" s="99">
        <v>2000</v>
      </c>
      <c r="S26" s="101" t="s">
        <v>143</v>
      </c>
      <c r="T26" s="101" t="s">
        <v>280</v>
      </c>
      <c r="U26" s="102" t="s">
        <v>281</v>
      </c>
      <c r="V26" s="140"/>
      <c r="W26" s="140"/>
    </row>
    <row r="27" spans="1:23" s="79" customFormat="1" ht="88.5" customHeight="1">
      <c r="A27" s="87" t="s">
        <v>230</v>
      </c>
      <c r="B27" s="88">
        <v>43731</v>
      </c>
      <c r="C27" s="89" t="s">
        <v>972</v>
      </c>
      <c r="D27" s="90" t="s">
        <v>82</v>
      </c>
      <c r="E27" s="91" t="s">
        <v>115</v>
      </c>
      <c r="F27" s="103" t="s">
        <v>116</v>
      </c>
      <c r="G27" s="93">
        <f t="shared" si="0"/>
        <v>1185737.75</v>
      </c>
      <c r="H27" s="94">
        <v>1185737.75</v>
      </c>
      <c r="I27" s="93">
        <f t="shared" si="1"/>
        <v>1185737.75</v>
      </c>
      <c r="J27" s="94">
        <f>463718.17+217893.91+265145.81+197348.99+41630.87</f>
        <v>1185737.75</v>
      </c>
      <c r="K27" s="93">
        <f t="shared" si="2"/>
        <v>0</v>
      </c>
      <c r="L27" s="95">
        <f t="shared" si="3"/>
        <v>0</v>
      </c>
      <c r="M27" s="96" t="s">
        <v>36</v>
      </c>
      <c r="N27" s="120">
        <f t="shared" si="4"/>
        <v>1</v>
      </c>
      <c r="O27" s="120">
        <v>1</v>
      </c>
      <c r="P27" s="97" t="s">
        <v>32</v>
      </c>
      <c r="Q27" s="98">
        <v>1</v>
      </c>
      <c r="R27" s="99">
        <v>2000</v>
      </c>
      <c r="S27" s="101" t="s">
        <v>143</v>
      </c>
      <c r="T27" s="101" t="s">
        <v>282</v>
      </c>
      <c r="U27" s="102" t="s">
        <v>283</v>
      </c>
      <c r="V27" s="140"/>
      <c r="W27" s="140"/>
    </row>
    <row r="28" spans="1:23" s="79" customFormat="1" ht="84" customHeight="1">
      <c r="A28" s="87" t="s">
        <v>230</v>
      </c>
      <c r="B28" s="88">
        <v>43731</v>
      </c>
      <c r="C28" s="89" t="s">
        <v>973</v>
      </c>
      <c r="D28" s="90" t="s">
        <v>82</v>
      </c>
      <c r="E28" s="91" t="s">
        <v>117</v>
      </c>
      <c r="F28" s="92" t="s">
        <v>118</v>
      </c>
      <c r="G28" s="93">
        <f t="shared" si="0"/>
        <v>2231857.59</v>
      </c>
      <c r="H28" s="94">
        <v>2231857.59</v>
      </c>
      <c r="I28" s="93">
        <f t="shared" si="1"/>
        <v>2187117.2400000002</v>
      </c>
      <c r="J28" s="94">
        <f>600397.71+616780.48+969939.05</f>
        <v>2187117.2400000002</v>
      </c>
      <c r="K28" s="93">
        <f t="shared" si="2"/>
        <v>44740.349999999627</v>
      </c>
      <c r="L28" s="95">
        <f t="shared" si="3"/>
        <v>44740.349999999627</v>
      </c>
      <c r="M28" s="96" t="s">
        <v>36</v>
      </c>
      <c r="N28" s="120">
        <f t="shared" si="4"/>
        <v>0.97995376129710876</v>
      </c>
      <c r="O28" s="120">
        <v>1</v>
      </c>
      <c r="P28" s="97" t="s">
        <v>85</v>
      </c>
      <c r="Q28" s="98">
        <v>7274.57</v>
      </c>
      <c r="R28" s="99">
        <v>400000</v>
      </c>
      <c r="S28" s="101" t="s">
        <v>143</v>
      </c>
      <c r="T28" s="101" t="s">
        <v>284</v>
      </c>
      <c r="U28" s="102" t="s">
        <v>285</v>
      </c>
      <c r="V28" s="140"/>
      <c r="W28" s="140"/>
    </row>
    <row r="29" spans="1:23" s="79" customFormat="1" ht="69.75" customHeight="1">
      <c r="A29" s="87" t="s">
        <v>230</v>
      </c>
      <c r="B29" s="88">
        <v>43515</v>
      </c>
      <c r="C29" s="89" t="s">
        <v>119</v>
      </c>
      <c r="D29" s="90" t="s">
        <v>41</v>
      </c>
      <c r="E29" s="91" t="s">
        <v>120</v>
      </c>
      <c r="F29" s="92" t="s">
        <v>121</v>
      </c>
      <c r="G29" s="93">
        <f t="shared" si="0"/>
        <v>2500000</v>
      </c>
      <c r="H29" s="94">
        <v>2500000</v>
      </c>
      <c r="I29" s="93">
        <f t="shared" si="1"/>
        <v>2472457.73</v>
      </c>
      <c r="J29" s="94">
        <f>722320.81+58103.85+298511.41+332957.76+789252.09+271311.81</f>
        <v>2472457.73</v>
      </c>
      <c r="K29" s="93">
        <f t="shared" si="2"/>
        <v>27542.270000000019</v>
      </c>
      <c r="L29" s="95">
        <f t="shared" si="3"/>
        <v>27542.270000000019</v>
      </c>
      <c r="M29" s="96" t="s">
        <v>36</v>
      </c>
      <c r="N29" s="120">
        <f t="shared" si="4"/>
        <v>0.98898309200000001</v>
      </c>
      <c r="O29" s="120">
        <v>1</v>
      </c>
      <c r="P29" s="97" t="s">
        <v>32</v>
      </c>
      <c r="Q29" s="98">
        <v>1</v>
      </c>
      <c r="R29" s="99">
        <v>2000</v>
      </c>
      <c r="S29" s="101" t="s">
        <v>143</v>
      </c>
      <c r="T29" s="101" t="s">
        <v>409</v>
      </c>
      <c r="U29" s="102" t="s">
        <v>410</v>
      </c>
      <c r="V29" s="140"/>
      <c r="W29" s="140"/>
    </row>
    <row r="30" spans="1:23" s="79" customFormat="1" ht="61.5" customHeight="1">
      <c r="A30" s="87" t="s">
        <v>230</v>
      </c>
      <c r="B30" s="88">
        <v>43731</v>
      </c>
      <c r="C30" s="89" t="s">
        <v>974</v>
      </c>
      <c r="D30" s="90"/>
      <c r="E30" s="91" t="s">
        <v>250</v>
      </c>
      <c r="F30" s="92" t="s">
        <v>251</v>
      </c>
      <c r="G30" s="93">
        <f t="shared" si="0"/>
        <v>1209605.8799999999</v>
      </c>
      <c r="H30" s="94">
        <v>1209605.8799999999</v>
      </c>
      <c r="I30" s="93">
        <f t="shared" si="1"/>
        <v>1161383.07</v>
      </c>
      <c r="J30" s="94">
        <f>356895+149608.3+654879.77</f>
        <v>1161383.07</v>
      </c>
      <c r="K30" s="93">
        <f t="shared" si="2"/>
        <v>48222.809999999823</v>
      </c>
      <c r="L30" s="95">
        <f t="shared" si="3"/>
        <v>48222.809999999823</v>
      </c>
      <c r="M30" s="96" t="s">
        <v>36</v>
      </c>
      <c r="N30" s="120">
        <f t="shared" si="4"/>
        <v>0.96013345272428752</v>
      </c>
      <c r="O30" s="120">
        <v>1</v>
      </c>
      <c r="P30" s="97" t="s">
        <v>32</v>
      </c>
      <c r="Q30" s="98">
        <v>1</v>
      </c>
      <c r="R30" s="99">
        <v>3000</v>
      </c>
      <c r="S30" s="101" t="s">
        <v>143</v>
      </c>
      <c r="T30" s="101" t="s">
        <v>411</v>
      </c>
      <c r="U30" s="102" t="s">
        <v>412</v>
      </c>
      <c r="V30" s="140"/>
      <c r="W30" s="140"/>
    </row>
    <row r="31" spans="1:23" s="79" customFormat="1" ht="84.75" customHeight="1">
      <c r="A31" s="87" t="s">
        <v>230</v>
      </c>
      <c r="B31" s="88">
        <v>43711</v>
      </c>
      <c r="C31" s="89" t="s">
        <v>975</v>
      </c>
      <c r="D31" s="90" t="s">
        <v>122</v>
      </c>
      <c r="E31" s="91" t="s">
        <v>123</v>
      </c>
      <c r="F31" s="92" t="s">
        <v>124</v>
      </c>
      <c r="G31" s="93">
        <f t="shared" si="0"/>
        <v>1209605.8799999999</v>
      </c>
      <c r="H31" s="94">
        <v>1209605.8799999999</v>
      </c>
      <c r="I31" s="93">
        <f t="shared" si="1"/>
        <v>1192999.1299999999</v>
      </c>
      <c r="J31" s="94">
        <f>527076.39+129567+447817.26+88538.48</f>
        <v>1192999.1299999999</v>
      </c>
      <c r="K31" s="93">
        <f t="shared" si="2"/>
        <v>16606.75</v>
      </c>
      <c r="L31" s="95">
        <f t="shared" si="3"/>
        <v>16606.75</v>
      </c>
      <c r="M31" s="96" t="s">
        <v>36</v>
      </c>
      <c r="N31" s="120">
        <f t="shared" si="4"/>
        <v>0.98627094140779148</v>
      </c>
      <c r="O31" s="120">
        <v>1</v>
      </c>
      <c r="P31" s="97" t="s">
        <v>32</v>
      </c>
      <c r="Q31" s="98">
        <v>1</v>
      </c>
      <c r="R31" s="99">
        <v>2500</v>
      </c>
      <c r="S31" s="101" t="s">
        <v>143</v>
      </c>
      <c r="T31" s="101" t="s">
        <v>413</v>
      </c>
      <c r="U31" s="102" t="s">
        <v>414</v>
      </c>
      <c r="V31" s="140"/>
      <c r="W31" s="140"/>
    </row>
    <row r="32" spans="1:23" s="79" customFormat="1" ht="74.25" customHeight="1">
      <c r="A32" s="87" t="s">
        <v>230</v>
      </c>
      <c r="B32" s="88">
        <v>43523</v>
      </c>
      <c r="C32" s="89" t="s">
        <v>236</v>
      </c>
      <c r="D32" s="90"/>
      <c r="E32" s="91" t="s">
        <v>237</v>
      </c>
      <c r="F32" s="92" t="s">
        <v>238</v>
      </c>
      <c r="G32" s="93">
        <f t="shared" si="0"/>
        <v>1209605.8799999999</v>
      </c>
      <c r="H32" s="94">
        <v>1209605.8799999999</v>
      </c>
      <c r="I32" s="93">
        <f t="shared" si="1"/>
        <v>642512</v>
      </c>
      <c r="J32" s="94">
        <f>357371.96+285140.04</f>
        <v>642512</v>
      </c>
      <c r="K32" s="93">
        <f t="shared" si="2"/>
        <v>567093.87999999989</v>
      </c>
      <c r="L32" s="95">
        <f t="shared" si="3"/>
        <v>567093.87999999989</v>
      </c>
      <c r="M32" s="96" t="s">
        <v>36</v>
      </c>
      <c r="N32" s="120">
        <f t="shared" si="4"/>
        <v>0.53117466657817514</v>
      </c>
      <c r="O32" s="120">
        <v>0.7</v>
      </c>
      <c r="P32" s="97" t="s">
        <v>32</v>
      </c>
      <c r="Q32" s="98">
        <v>1</v>
      </c>
      <c r="R32" s="99">
        <v>1000</v>
      </c>
      <c r="S32" s="101" t="s">
        <v>143</v>
      </c>
      <c r="T32" s="101" t="s">
        <v>415</v>
      </c>
      <c r="U32" s="102" t="s">
        <v>416</v>
      </c>
      <c r="V32" s="140"/>
      <c r="W32" s="140"/>
    </row>
    <row r="33" spans="1:23" s="79" customFormat="1" ht="87.75" customHeight="1">
      <c r="A33" s="87" t="s">
        <v>230</v>
      </c>
      <c r="B33" s="88">
        <v>43515</v>
      </c>
      <c r="C33" s="89" t="s">
        <v>125</v>
      </c>
      <c r="D33" s="90" t="s">
        <v>82</v>
      </c>
      <c r="E33" s="91" t="s">
        <v>126</v>
      </c>
      <c r="F33" s="92" t="s">
        <v>127</v>
      </c>
      <c r="G33" s="93">
        <f t="shared" si="0"/>
        <v>2850123.57</v>
      </c>
      <c r="H33" s="94">
        <v>2850123.57</v>
      </c>
      <c r="I33" s="93">
        <f t="shared" si="1"/>
        <v>2626586.12</v>
      </c>
      <c r="J33" s="94">
        <f>836880+1377424.86+412281.26</f>
        <v>2626586.12</v>
      </c>
      <c r="K33" s="93">
        <f t="shared" si="2"/>
        <v>223537.44999999972</v>
      </c>
      <c r="L33" s="95">
        <f t="shared" si="3"/>
        <v>223537.44999999972</v>
      </c>
      <c r="M33" s="96" t="s">
        <v>36</v>
      </c>
      <c r="N33" s="120">
        <f t="shared" si="4"/>
        <v>0.92156920761158445</v>
      </c>
      <c r="O33" s="120">
        <v>1</v>
      </c>
      <c r="P33" s="97" t="s">
        <v>85</v>
      </c>
      <c r="Q33" s="98">
        <v>3400</v>
      </c>
      <c r="R33" s="99">
        <v>400000</v>
      </c>
      <c r="S33" s="101" t="s">
        <v>143</v>
      </c>
      <c r="T33" s="101" t="s">
        <v>286</v>
      </c>
      <c r="U33" s="102" t="s">
        <v>287</v>
      </c>
      <c r="V33" s="140"/>
      <c r="W33" s="140"/>
    </row>
    <row r="34" spans="1:23" s="79" customFormat="1" ht="46.5" customHeight="1">
      <c r="A34" s="87" t="s">
        <v>128</v>
      </c>
      <c r="B34" s="88">
        <v>43733</v>
      </c>
      <c r="C34" s="89" t="s">
        <v>976</v>
      </c>
      <c r="D34" s="90" t="s">
        <v>82</v>
      </c>
      <c r="E34" s="91" t="s">
        <v>129</v>
      </c>
      <c r="F34" s="92" t="s">
        <v>130</v>
      </c>
      <c r="G34" s="93">
        <f t="shared" si="0"/>
        <v>1628687.74</v>
      </c>
      <c r="H34" s="94">
        <v>1628687.74</v>
      </c>
      <c r="I34" s="93">
        <f t="shared" si="1"/>
        <v>1628687.74</v>
      </c>
      <c r="J34" s="94">
        <f>1441.57+443964.69+417661.6+17975.84+3607.52+744036.52</f>
        <v>1628687.74</v>
      </c>
      <c r="K34" s="93">
        <f t="shared" si="2"/>
        <v>0</v>
      </c>
      <c r="L34" s="95">
        <f t="shared" si="3"/>
        <v>0</v>
      </c>
      <c r="M34" s="96" t="s">
        <v>79</v>
      </c>
      <c r="N34" s="120">
        <f t="shared" si="4"/>
        <v>1</v>
      </c>
      <c r="O34" s="120">
        <v>1</v>
      </c>
      <c r="P34" s="97" t="s">
        <v>32</v>
      </c>
      <c r="Q34" s="98">
        <v>1</v>
      </c>
      <c r="R34" s="99">
        <v>600000</v>
      </c>
      <c r="S34" s="101" t="s">
        <v>33</v>
      </c>
      <c r="T34" s="101" t="s">
        <v>33</v>
      </c>
      <c r="U34" s="102" t="s">
        <v>34</v>
      </c>
      <c r="V34" s="140"/>
      <c r="W34" s="140"/>
    </row>
    <row r="35" spans="1:23" s="79" customFormat="1" ht="89.25" customHeight="1">
      <c r="A35" s="87" t="s">
        <v>230</v>
      </c>
      <c r="B35" s="88">
        <v>43515</v>
      </c>
      <c r="C35" s="89" t="s">
        <v>131</v>
      </c>
      <c r="D35" s="90" t="s">
        <v>82</v>
      </c>
      <c r="E35" s="91" t="s">
        <v>132</v>
      </c>
      <c r="F35" s="92" t="s">
        <v>133</v>
      </c>
      <c r="G35" s="93">
        <f t="shared" si="0"/>
        <v>2850123.57</v>
      </c>
      <c r="H35" s="94">
        <v>2850123.57</v>
      </c>
      <c r="I35" s="93">
        <f t="shared" si="1"/>
        <v>2393778.12</v>
      </c>
      <c r="J35" s="94">
        <f>837120+300531.52+431598.02+824528.58</f>
        <v>2393778.12</v>
      </c>
      <c r="K35" s="93">
        <f t="shared" si="2"/>
        <v>456345.44999999972</v>
      </c>
      <c r="L35" s="95">
        <f t="shared" si="3"/>
        <v>456345.44999999972</v>
      </c>
      <c r="M35" s="96" t="s">
        <v>36</v>
      </c>
      <c r="N35" s="120">
        <f t="shared" si="4"/>
        <v>0.83988573169127545</v>
      </c>
      <c r="O35" s="120">
        <v>1</v>
      </c>
      <c r="P35" s="97" t="s">
        <v>85</v>
      </c>
      <c r="Q35" s="98">
        <v>3400</v>
      </c>
      <c r="R35" s="99">
        <v>400000</v>
      </c>
      <c r="S35" s="101" t="s">
        <v>143</v>
      </c>
      <c r="T35" s="101" t="s">
        <v>288</v>
      </c>
      <c r="U35" s="102" t="s">
        <v>289</v>
      </c>
      <c r="V35" s="140"/>
      <c r="W35" s="140"/>
    </row>
    <row r="36" spans="1:23" s="79" customFormat="1" ht="63" customHeight="1">
      <c r="A36" s="87" t="s">
        <v>230</v>
      </c>
      <c r="B36" s="88">
        <v>43515</v>
      </c>
      <c r="C36" s="89" t="s">
        <v>134</v>
      </c>
      <c r="D36" s="90" t="s">
        <v>41</v>
      </c>
      <c r="E36" s="91" t="s">
        <v>135</v>
      </c>
      <c r="F36" s="92" t="s">
        <v>136</v>
      </c>
      <c r="G36" s="93">
        <f t="shared" si="0"/>
        <v>1409245.24</v>
      </c>
      <c r="H36" s="94">
        <v>1409245.24</v>
      </c>
      <c r="I36" s="93">
        <f t="shared" si="1"/>
        <v>1359588.8199999998</v>
      </c>
      <c r="J36" s="94">
        <f>407882.97+798337.33+153368.52</f>
        <v>1359588.8199999998</v>
      </c>
      <c r="K36" s="93">
        <f t="shared" si="2"/>
        <v>49656.420000000158</v>
      </c>
      <c r="L36" s="95">
        <f t="shared" si="3"/>
        <v>49656.420000000158</v>
      </c>
      <c r="M36" s="96" t="s">
        <v>36</v>
      </c>
      <c r="N36" s="120">
        <f t="shared" si="4"/>
        <v>0.96476381924837995</v>
      </c>
      <c r="O36" s="120">
        <v>1</v>
      </c>
      <c r="P36" s="97" t="s">
        <v>32</v>
      </c>
      <c r="Q36" s="98">
        <v>1</v>
      </c>
      <c r="R36" s="99">
        <v>2000</v>
      </c>
      <c r="S36" s="101" t="s">
        <v>143</v>
      </c>
      <c r="T36" s="101" t="s">
        <v>417</v>
      </c>
      <c r="U36" s="102" t="s">
        <v>418</v>
      </c>
      <c r="V36" s="140"/>
      <c r="W36" s="140"/>
    </row>
    <row r="37" spans="1:23" s="79" customFormat="1" ht="58.5" customHeight="1">
      <c r="A37" s="87" t="s">
        <v>230</v>
      </c>
      <c r="B37" s="88">
        <v>43523</v>
      </c>
      <c r="C37" s="89" t="s">
        <v>247</v>
      </c>
      <c r="D37" s="90"/>
      <c r="E37" s="91" t="s">
        <v>248</v>
      </c>
      <c r="F37" s="92" t="s">
        <v>249</v>
      </c>
      <c r="G37" s="93">
        <f t="shared" si="0"/>
        <v>3043784.62</v>
      </c>
      <c r="H37" s="94">
        <v>3043784.62</v>
      </c>
      <c r="I37" s="93">
        <f t="shared" si="1"/>
        <v>2333152.5</v>
      </c>
      <c r="J37" s="94">
        <f>876438.17+427216.95+246158.36+783339.02</f>
        <v>2333152.5</v>
      </c>
      <c r="K37" s="93">
        <f t="shared" si="2"/>
        <v>710632.12000000011</v>
      </c>
      <c r="L37" s="95">
        <f t="shared" si="3"/>
        <v>710632.12000000011</v>
      </c>
      <c r="M37" s="96" t="s">
        <v>36</v>
      </c>
      <c r="N37" s="120">
        <f t="shared" si="4"/>
        <v>0.76653009042407205</v>
      </c>
      <c r="O37" s="120">
        <v>0.98</v>
      </c>
      <c r="P37" s="97" t="s">
        <v>32</v>
      </c>
      <c r="Q37" s="98">
        <v>1</v>
      </c>
      <c r="R37" s="99">
        <v>500</v>
      </c>
      <c r="S37" s="101" t="s">
        <v>143</v>
      </c>
      <c r="T37" s="101" t="s">
        <v>170</v>
      </c>
      <c r="U37" s="102" t="s">
        <v>419</v>
      </c>
      <c r="V37" s="140"/>
      <c r="W37" s="140"/>
    </row>
    <row r="38" spans="1:23" s="79" customFormat="1" ht="114" customHeight="1">
      <c r="A38" s="87" t="s">
        <v>230</v>
      </c>
      <c r="B38" s="88">
        <v>43523</v>
      </c>
      <c r="C38" s="89" t="s">
        <v>290</v>
      </c>
      <c r="D38" s="90"/>
      <c r="E38" s="91" t="s">
        <v>232</v>
      </c>
      <c r="F38" s="92" t="s">
        <v>233</v>
      </c>
      <c r="G38" s="93">
        <f t="shared" si="0"/>
        <v>2865530.53</v>
      </c>
      <c r="H38" s="94">
        <v>2865530.53</v>
      </c>
      <c r="I38" s="93">
        <f t="shared" si="1"/>
        <v>2692160.19</v>
      </c>
      <c r="J38" s="94">
        <f>824685.03+470775+457315.21+939384.95</f>
        <v>2692160.19</v>
      </c>
      <c r="K38" s="93">
        <f t="shared" si="2"/>
        <v>173370.33999999985</v>
      </c>
      <c r="L38" s="95">
        <f t="shared" si="3"/>
        <v>173370.33999999985</v>
      </c>
      <c r="M38" s="96" t="s">
        <v>36</v>
      </c>
      <c r="N38" s="120">
        <f t="shared" si="4"/>
        <v>0.93949799585628568</v>
      </c>
      <c r="O38" s="120">
        <v>1</v>
      </c>
      <c r="P38" s="97" t="s">
        <v>85</v>
      </c>
      <c r="Q38" s="98">
        <v>23.32</v>
      </c>
      <c r="R38" s="99">
        <v>600</v>
      </c>
      <c r="S38" s="101" t="s">
        <v>143</v>
      </c>
      <c r="T38" s="101" t="s">
        <v>420</v>
      </c>
      <c r="U38" s="102" t="s">
        <v>421</v>
      </c>
      <c r="V38" s="140"/>
      <c r="W38" s="140"/>
    </row>
    <row r="39" spans="1:23" s="79" customFormat="1" ht="53.25" customHeight="1">
      <c r="A39" s="87" t="s">
        <v>230</v>
      </c>
      <c r="B39" s="88">
        <v>43515</v>
      </c>
      <c r="C39" s="89" t="s">
        <v>137</v>
      </c>
      <c r="D39" s="90" t="s">
        <v>82</v>
      </c>
      <c r="E39" s="91" t="s">
        <v>138</v>
      </c>
      <c r="F39" s="92" t="s">
        <v>139</v>
      </c>
      <c r="G39" s="93">
        <f t="shared" si="0"/>
        <v>2888142.45</v>
      </c>
      <c r="H39" s="94">
        <v>2888142.45</v>
      </c>
      <c r="I39" s="93">
        <f t="shared" si="1"/>
        <v>2343264.02</v>
      </c>
      <c r="J39" s="94">
        <f>828033.22+394558.48+399748.77+571115.03+149808.52</f>
        <v>2343264.02</v>
      </c>
      <c r="K39" s="93">
        <f t="shared" si="2"/>
        <v>544878.43000000017</v>
      </c>
      <c r="L39" s="95">
        <f t="shared" si="3"/>
        <v>544878.43000000017</v>
      </c>
      <c r="M39" s="96" t="s">
        <v>36</v>
      </c>
      <c r="N39" s="120">
        <f t="shared" si="4"/>
        <v>0.8113394891585074</v>
      </c>
      <c r="O39" s="120">
        <v>1</v>
      </c>
      <c r="P39" s="97" t="s">
        <v>85</v>
      </c>
      <c r="Q39" s="98">
        <v>1689.11</v>
      </c>
      <c r="R39" s="99">
        <v>500</v>
      </c>
      <c r="S39" s="101" t="s">
        <v>143</v>
      </c>
      <c r="T39" s="101" t="s">
        <v>291</v>
      </c>
      <c r="U39" s="102" t="s">
        <v>292</v>
      </c>
      <c r="V39" s="140"/>
      <c r="W39" s="140"/>
    </row>
    <row r="40" spans="1:23" s="79" customFormat="1" ht="82.5" customHeight="1">
      <c r="A40" s="87" t="s">
        <v>230</v>
      </c>
      <c r="B40" s="88">
        <v>43733</v>
      </c>
      <c r="C40" s="89" t="s">
        <v>977</v>
      </c>
      <c r="D40" s="90"/>
      <c r="E40" s="91" t="s">
        <v>239</v>
      </c>
      <c r="F40" s="92" t="s">
        <v>240</v>
      </c>
      <c r="G40" s="93">
        <f t="shared" si="0"/>
        <v>972235.69</v>
      </c>
      <c r="H40" s="94">
        <v>972235.69</v>
      </c>
      <c r="I40" s="93">
        <f t="shared" si="1"/>
        <v>972235.69</v>
      </c>
      <c r="J40" s="94">
        <f>323904.47+528633.6+23835.03+95862.59</f>
        <v>972235.69</v>
      </c>
      <c r="K40" s="93">
        <f t="shared" si="2"/>
        <v>0</v>
      </c>
      <c r="L40" s="95">
        <f t="shared" si="3"/>
        <v>0</v>
      </c>
      <c r="M40" s="96" t="s">
        <v>36</v>
      </c>
      <c r="N40" s="120">
        <f t="shared" si="4"/>
        <v>1</v>
      </c>
      <c r="O40" s="120">
        <v>1</v>
      </c>
      <c r="P40" s="97" t="s">
        <v>32</v>
      </c>
      <c r="Q40" s="98">
        <v>1</v>
      </c>
      <c r="R40" s="99">
        <v>500</v>
      </c>
      <c r="S40" s="101" t="s">
        <v>143</v>
      </c>
      <c r="T40" s="101" t="s">
        <v>422</v>
      </c>
      <c r="U40" s="102" t="s">
        <v>423</v>
      </c>
      <c r="V40" s="140"/>
      <c r="W40" s="140"/>
    </row>
    <row r="41" spans="1:23" s="79" customFormat="1" ht="64.5" customHeight="1">
      <c r="A41" s="87" t="s">
        <v>230</v>
      </c>
      <c r="B41" s="88">
        <v>43524</v>
      </c>
      <c r="C41" s="89" t="s">
        <v>241</v>
      </c>
      <c r="D41" s="90"/>
      <c r="E41" s="91" t="s">
        <v>242</v>
      </c>
      <c r="F41" s="92" t="s">
        <v>243</v>
      </c>
      <c r="G41" s="93">
        <f t="shared" si="0"/>
        <v>935080.62</v>
      </c>
      <c r="H41" s="94">
        <v>935080.62</v>
      </c>
      <c r="I41" s="93">
        <f t="shared" si="1"/>
        <v>902413.73</v>
      </c>
      <c r="J41" s="94">
        <f>270724.12+288996.89+225424.85+74847.91+31862.32+10557.64</f>
        <v>902413.73</v>
      </c>
      <c r="K41" s="93">
        <f t="shared" si="2"/>
        <v>32666.890000000014</v>
      </c>
      <c r="L41" s="95">
        <f t="shared" si="3"/>
        <v>32666.890000000014</v>
      </c>
      <c r="M41" s="96" t="s">
        <v>36</v>
      </c>
      <c r="N41" s="120">
        <f t="shared" si="4"/>
        <v>0.96506516197501768</v>
      </c>
      <c r="O41" s="120">
        <v>1</v>
      </c>
      <c r="P41" s="97" t="s">
        <v>32</v>
      </c>
      <c r="Q41" s="98">
        <v>1</v>
      </c>
      <c r="R41" s="99">
        <v>500</v>
      </c>
      <c r="S41" s="101" t="s">
        <v>143</v>
      </c>
      <c r="T41" s="101" t="s">
        <v>424</v>
      </c>
      <c r="U41" s="102" t="s">
        <v>425</v>
      </c>
      <c r="V41" s="140"/>
      <c r="W41" s="140"/>
    </row>
    <row r="42" spans="1:23" s="79" customFormat="1" ht="90" customHeight="1">
      <c r="A42" s="87" t="s">
        <v>230</v>
      </c>
      <c r="B42" s="88">
        <v>43524</v>
      </c>
      <c r="C42" s="89" t="s">
        <v>244</v>
      </c>
      <c r="D42" s="90"/>
      <c r="E42" s="91" t="s">
        <v>245</v>
      </c>
      <c r="F42" s="92" t="s">
        <v>246</v>
      </c>
      <c r="G42" s="93">
        <f t="shared" si="0"/>
        <v>1039480.3</v>
      </c>
      <c r="H42" s="94">
        <v>1039480.3</v>
      </c>
      <c r="I42" s="93">
        <f t="shared" si="1"/>
        <v>626949.02</v>
      </c>
      <c r="J42" s="94">
        <f>303515.73+247171.59+32430.18+43831.52</f>
        <v>626949.02</v>
      </c>
      <c r="K42" s="93">
        <f t="shared" si="2"/>
        <v>412531.28</v>
      </c>
      <c r="L42" s="95">
        <f t="shared" si="3"/>
        <v>412531.28</v>
      </c>
      <c r="M42" s="96" t="s">
        <v>36</v>
      </c>
      <c r="N42" s="120">
        <f t="shared" si="4"/>
        <v>0.6031369906673556</v>
      </c>
      <c r="O42" s="120">
        <v>1</v>
      </c>
      <c r="P42" s="97" t="s">
        <v>32</v>
      </c>
      <c r="Q42" s="98">
        <v>1</v>
      </c>
      <c r="R42" s="99">
        <v>500</v>
      </c>
      <c r="S42" s="101" t="s">
        <v>143</v>
      </c>
      <c r="T42" s="101" t="s">
        <v>426</v>
      </c>
      <c r="U42" s="102" t="s">
        <v>427</v>
      </c>
      <c r="V42" s="140"/>
      <c r="W42" s="140"/>
    </row>
    <row r="43" spans="1:23" s="79" customFormat="1" ht="105" customHeight="1">
      <c r="A43" s="87" t="s">
        <v>230</v>
      </c>
      <c r="B43" s="88">
        <v>43644</v>
      </c>
      <c r="C43" s="89" t="s">
        <v>591</v>
      </c>
      <c r="D43" s="90" t="s">
        <v>293</v>
      </c>
      <c r="E43" s="91" t="s">
        <v>294</v>
      </c>
      <c r="F43" s="92" t="s">
        <v>295</v>
      </c>
      <c r="G43" s="93">
        <f t="shared" si="0"/>
        <v>64879.46</v>
      </c>
      <c r="H43" s="94">
        <v>64879.46</v>
      </c>
      <c r="I43" s="93">
        <f t="shared" si="1"/>
        <v>64879.46</v>
      </c>
      <c r="J43" s="94">
        <f>54569.89+10309.57</f>
        <v>64879.46</v>
      </c>
      <c r="K43" s="93">
        <f t="shared" si="2"/>
        <v>0</v>
      </c>
      <c r="L43" s="95">
        <f t="shared" si="3"/>
        <v>0</v>
      </c>
      <c r="M43" s="96" t="s">
        <v>36</v>
      </c>
      <c r="N43" s="120">
        <f t="shared" si="4"/>
        <v>1</v>
      </c>
      <c r="O43" s="318">
        <v>1</v>
      </c>
      <c r="P43" s="97" t="s">
        <v>32</v>
      </c>
      <c r="Q43" s="98">
        <v>1</v>
      </c>
      <c r="R43" s="99">
        <v>5000</v>
      </c>
      <c r="S43" s="101" t="s">
        <v>143</v>
      </c>
      <c r="T43" s="101" t="s">
        <v>428</v>
      </c>
      <c r="U43" s="102" t="s">
        <v>429</v>
      </c>
      <c r="V43" s="140"/>
      <c r="W43" s="140"/>
    </row>
    <row r="44" spans="1:23" s="79" customFormat="1" ht="53.25" customHeight="1">
      <c r="A44" s="87" t="s">
        <v>230</v>
      </c>
      <c r="B44" s="88">
        <v>43714</v>
      </c>
      <c r="C44" s="89" t="s">
        <v>978</v>
      </c>
      <c r="D44" s="90" t="s">
        <v>41</v>
      </c>
      <c r="E44" s="91" t="s">
        <v>296</v>
      </c>
      <c r="F44" s="92" t="s">
        <v>297</v>
      </c>
      <c r="G44" s="93">
        <f t="shared" si="0"/>
        <v>1928012.5</v>
      </c>
      <c r="H44" s="94">
        <v>1928012.5</v>
      </c>
      <c r="I44" s="93">
        <f t="shared" si="1"/>
        <v>1438733.33</v>
      </c>
      <c r="J44" s="94">
        <f>145000+134308.24+379225.39+148909.94+176926.09+278722.68+175640.99</f>
        <v>1438733.33</v>
      </c>
      <c r="K44" s="93">
        <f t="shared" si="2"/>
        <v>489279.16999999993</v>
      </c>
      <c r="L44" s="95">
        <f t="shared" si="3"/>
        <v>489279.16999999993</v>
      </c>
      <c r="M44" s="96" t="s">
        <v>79</v>
      </c>
      <c r="N44" s="120">
        <f t="shared" si="4"/>
        <v>0.74622614220602823</v>
      </c>
      <c r="O44" s="318">
        <v>0.72099999999999997</v>
      </c>
      <c r="P44" s="97" t="s">
        <v>32</v>
      </c>
      <c r="Q44" s="98">
        <v>1</v>
      </c>
      <c r="R44" s="99">
        <v>877190</v>
      </c>
      <c r="S44" s="101" t="s">
        <v>33</v>
      </c>
      <c r="T44" s="101" t="s">
        <v>33</v>
      </c>
      <c r="U44" s="102" t="s">
        <v>34</v>
      </c>
      <c r="V44" s="140"/>
      <c r="W44" s="140"/>
    </row>
    <row r="45" spans="1:23" s="79" customFormat="1" ht="53.25" customHeight="1">
      <c r="A45" s="87" t="s">
        <v>230</v>
      </c>
      <c r="B45" s="88">
        <v>43714</v>
      </c>
      <c r="C45" s="89" t="s">
        <v>979</v>
      </c>
      <c r="D45" s="90" t="s">
        <v>41</v>
      </c>
      <c r="E45" s="91" t="s">
        <v>298</v>
      </c>
      <c r="F45" s="92" t="s">
        <v>299</v>
      </c>
      <c r="G45" s="93">
        <f t="shared" si="0"/>
        <v>1947301.15</v>
      </c>
      <c r="H45" s="94">
        <v>1947301.15</v>
      </c>
      <c r="I45" s="93">
        <f t="shared" si="1"/>
        <v>1414877.1</v>
      </c>
      <c r="J45" s="94">
        <f>199316.25+258130.24+209694.22+203676.32+309643.9+234416.17</f>
        <v>1414877.1</v>
      </c>
      <c r="K45" s="93">
        <f t="shared" si="2"/>
        <v>532424.04999999981</v>
      </c>
      <c r="L45" s="95">
        <f t="shared" si="3"/>
        <v>532424.04999999981</v>
      </c>
      <c r="M45" s="96" t="s">
        <v>79</v>
      </c>
      <c r="N45" s="120">
        <f t="shared" si="4"/>
        <v>0.72658361034706942</v>
      </c>
      <c r="O45" s="318">
        <v>0.70499999999999996</v>
      </c>
      <c r="P45" s="97" t="s">
        <v>32</v>
      </c>
      <c r="Q45" s="98">
        <v>1</v>
      </c>
      <c r="R45" s="99">
        <v>877190</v>
      </c>
      <c r="S45" s="101" t="s">
        <v>33</v>
      </c>
      <c r="T45" s="101" t="s">
        <v>33</v>
      </c>
      <c r="U45" s="102" t="s">
        <v>34</v>
      </c>
      <c r="V45" s="140"/>
      <c r="W45" s="140"/>
    </row>
    <row r="46" spans="1:23" s="79" customFormat="1" ht="53.25" customHeight="1">
      <c r="A46" s="87" t="s">
        <v>230</v>
      </c>
      <c r="B46" s="88">
        <v>43714</v>
      </c>
      <c r="C46" s="89" t="s">
        <v>980</v>
      </c>
      <c r="D46" s="90" t="s">
        <v>41</v>
      </c>
      <c r="E46" s="91" t="s">
        <v>300</v>
      </c>
      <c r="F46" s="92" t="s">
        <v>301</v>
      </c>
      <c r="G46" s="93">
        <f t="shared" si="0"/>
        <v>14426028.689999999</v>
      </c>
      <c r="H46" s="94">
        <v>14426028.689999999</v>
      </c>
      <c r="I46" s="93">
        <f t="shared" si="1"/>
        <v>11319554.320000002</v>
      </c>
      <c r="J46" s="94">
        <f>297638.36+1201751.28+1306784.57+4467195.95+1388051.14+1875108.47+783024.55</f>
        <v>11319554.320000002</v>
      </c>
      <c r="K46" s="93">
        <f t="shared" si="2"/>
        <v>3106474.3699999973</v>
      </c>
      <c r="L46" s="95">
        <f t="shared" si="3"/>
        <v>3106474.3699999973</v>
      </c>
      <c r="M46" s="96" t="s">
        <v>79</v>
      </c>
      <c r="N46" s="120">
        <f t="shared" si="4"/>
        <v>0.784661847223874</v>
      </c>
      <c r="O46" s="318">
        <v>0.76300000000000001</v>
      </c>
      <c r="P46" s="97" t="s">
        <v>32</v>
      </c>
      <c r="Q46" s="98">
        <v>1</v>
      </c>
      <c r="R46" s="99">
        <v>877190</v>
      </c>
      <c r="S46" s="101" t="s">
        <v>33</v>
      </c>
      <c r="T46" s="101" t="s">
        <v>33</v>
      </c>
      <c r="U46" s="102" t="s">
        <v>34</v>
      </c>
      <c r="V46" s="140"/>
      <c r="W46" s="140"/>
    </row>
    <row r="47" spans="1:23" s="79" customFormat="1" ht="53.25" customHeight="1">
      <c r="A47" s="87" t="s">
        <v>230</v>
      </c>
      <c r="B47" s="88">
        <v>43714</v>
      </c>
      <c r="C47" s="89" t="s">
        <v>981</v>
      </c>
      <c r="D47" s="90" t="s">
        <v>41</v>
      </c>
      <c r="E47" s="91" t="s">
        <v>302</v>
      </c>
      <c r="F47" s="92" t="s">
        <v>303</v>
      </c>
      <c r="G47" s="93">
        <f t="shared" si="0"/>
        <v>2283443.94</v>
      </c>
      <c r="H47" s="94">
        <v>2283443.94</v>
      </c>
      <c r="I47" s="93">
        <f t="shared" si="1"/>
        <v>1161916.3600000001</v>
      </c>
      <c r="J47" s="94">
        <f>141663.01+238516.26+148739.32+151288.12+254675.97+227033.68</f>
        <v>1161916.3600000001</v>
      </c>
      <c r="K47" s="93">
        <f t="shared" si="2"/>
        <v>1121527.5799999998</v>
      </c>
      <c r="L47" s="95">
        <f t="shared" si="3"/>
        <v>1121527.5799999998</v>
      </c>
      <c r="M47" s="96" t="s">
        <v>79</v>
      </c>
      <c r="N47" s="120">
        <f t="shared" si="4"/>
        <v>0.50884382999128941</v>
      </c>
      <c r="O47" s="318">
        <v>0.48499999999999999</v>
      </c>
      <c r="P47" s="97" t="s">
        <v>32</v>
      </c>
      <c r="Q47" s="98">
        <v>1</v>
      </c>
      <c r="R47" s="99">
        <v>877190</v>
      </c>
      <c r="S47" s="101" t="s">
        <v>33</v>
      </c>
      <c r="T47" s="101" t="s">
        <v>33</v>
      </c>
      <c r="U47" s="102" t="s">
        <v>34</v>
      </c>
      <c r="V47" s="140"/>
      <c r="W47" s="140"/>
    </row>
    <row r="48" spans="1:23" s="79" customFormat="1" ht="39" customHeight="1">
      <c r="A48" s="87" t="s">
        <v>230</v>
      </c>
      <c r="B48" s="88">
        <v>43714</v>
      </c>
      <c r="C48" s="89" t="s">
        <v>982</v>
      </c>
      <c r="D48" s="90" t="s">
        <v>41</v>
      </c>
      <c r="E48" s="91" t="s">
        <v>304</v>
      </c>
      <c r="F48" s="92" t="s">
        <v>305</v>
      </c>
      <c r="G48" s="93">
        <f t="shared" si="0"/>
        <v>780242.67</v>
      </c>
      <c r="H48" s="94">
        <v>780242.67</v>
      </c>
      <c r="I48" s="93">
        <f t="shared" si="1"/>
        <v>468483.6</v>
      </c>
      <c r="J48" s="94">
        <f>34924.18+52443.95+41778.14+38162.31+167946.05+133228.97</f>
        <v>468483.6</v>
      </c>
      <c r="K48" s="93">
        <f t="shared" si="2"/>
        <v>311759.07000000007</v>
      </c>
      <c r="L48" s="95">
        <f t="shared" si="3"/>
        <v>311759.07000000007</v>
      </c>
      <c r="M48" s="96" t="s">
        <v>79</v>
      </c>
      <c r="N48" s="120">
        <f t="shared" si="4"/>
        <v>0.60043319599529199</v>
      </c>
      <c r="O48" s="318">
        <v>0.68300000000000005</v>
      </c>
      <c r="P48" s="97" t="s">
        <v>32</v>
      </c>
      <c r="Q48" s="98">
        <v>1</v>
      </c>
      <c r="R48" s="99">
        <v>877190</v>
      </c>
      <c r="S48" s="101" t="s">
        <v>33</v>
      </c>
      <c r="T48" s="101" t="s">
        <v>33</v>
      </c>
      <c r="U48" s="102" t="s">
        <v>34</v>
      </c>
      <c r="V48" s="140"/>
      <c r="W48" s="140"/>
    </row>
    <row r="49" spans="1:23" s="79" customFormat="1" ht="53.25" customHeight="1">
      <c r="A49" s="87" t="s">
        <v>230</v>
      </c>
      <c r="B49" s="88">
        <v>43714</v>
      </c>
      <c r="C49" s="89" t="s">
        <v>983</v>
      </c>
      <c r="D49" s="90" t="s">
        <v>306</v>
      </c>
      <c r="E49" s="91" t="s">
        <v>307</v>
      </c>
      <c r="F49" s="92" t="s">
        <v>308</v>
      </c>
      <c r="G49" s="93">
        <f t="shared" si="0"/>
        <v>1289276.72</v>
      </c>
      <c r="H49" s="94">
        <v>1289276.72</v>
      </c>
      <c r="I49" s="93">
        <f t="shared" si="1"/>
        <v>1033869.96</v>
      </c>
      <c r="J49" s="94">
        <f>70941+400580.61+41880.91+174901.1+240544.75+105021.59</f>
        <v>1033869.96</v>
      </c>
      <c r="K49" s="93">
        <f t="shared" si="2"/>
        <v>255406.76</v>
      </c>
      <c r="L49" s="95">
        <f t="shared" si="3"/>
        <v>255406.76</v>
      </c>
      <c r="M49" s="96" t="s">
        <v>79</v>
      </c>
      <c r="N49" s="120">
        <f t="shared" si="4"/>
        <v>0.8018991919748617</v>
      </c>
      <c r="O49" s="318">
        <v>0.78049999999999997</v>
      </c>
      <c r="P49" s="97" t="s">
        <v>32</v>
      </c>
      <c r="Q49" s="98">
        <v>1</v>
      </c>
      <c r="R49" s="99">
        <v>877190</v>
      </c>
      <c r="S49" s="101" t="s">
        <v>33</v>
      </c>
      <c r="T49" s="101" t="s">
        <v>33</v>
      </c>
      <c r="U49" s="102" t="s">
        <v>34</v>
      </c>
      <c r="V49" s="140"/>
      <c r="W49" s="140"/>
    </row>
    <row r="50" spans="1:23" s="79" customFormat="1" ht="53.25" customHeight="1">
      <c r="A50" s="87" t="s">
        <v>230</v>
      </c>
      <c r="B50" s="88">
        <v>43728</v>
      </c>
      <c r="C50" s="89" t="s">
        <v>984</v>
      </c>
      <c r="D50" s="90" t="s">
        <v>82</v>
      </c>
      <c r="E50" s="91" t="s">
        <v>309</v>
      </c>
      <c r="F50" s="92" t="s">
        <v>310</v>
      </c>
      <c r="G50" s="93">
        <f t="shared" si="0"/>
        <v>17945227.84</v>
      </c>
      <c r="H50" s="94">
        <v>17945227.84</v>
      </c>
      <c r="I50" s="93">
        <f t="shared" si="1"/>
        <v>15429726.35</v>
      </c>
      <c r="J50" s="94">
        <f>1030684.82+1059153.94+665885.67+5578025.24+2094708.41+3543724.02+1457544.25</f>
        <v>15429726.35</v>
      </c>
      <c r="K50" s="93">
        <f t="shared" si="2"/>
        <v>2515501.4900000002</v>
      </c>
      <c r="L50" s="95">
        <f t="shared" si="3"/>
        <v>2515501.4900000002</v>
      </c>
      <c r="M50" s="96" t="s">
        <v>79</v>
      </c>
      <c r="N50" s="120">
        <f t="shared" si="4"/>
        <v>0.8598233740787099</v>
      </c>
      <c r="O50" s="318">
        <v>0.83499999999999996</v>
      </c>
      <c r="P50" s="97" t="s">
        <v>32</v>
      </c>
      <c r="Q50" s="98">
        <v>1</v>
      </c>
      <c r="R50" s="99">
        <v>877190</v>
      </c>
      <c r="S50" s="101" t="s">
        <v>33</v>
      </c>
      <c r="T50" s="101" t="s">
        <v>33</v>
      </c>
      <c r="U50" s="102" t="s">
        <v>34</v>
      </c>
      <c r="V50" s="140"/>
      <c r="W50" s="140"/>
    </row>
    <row r="51" spans="1:23" s="79" customFormat="1" ht="53.25" customHeight="1">
      <c r="A51" s="87" t="s">
        <v>230</v>
      </c>
      <c r="B51" s="88">
        <v>43727</v>
      </c>
      <c r="C51" s="89" t="s">
        <v>985</v>
      </c>
      <c r="D51" s="90" t="s">
        <v>82</v>
      </c>
      <c r="E51" s="91" t="s">
        <v>311</v>
      </c>
      <c r="F51" s="92" t="s">
        <v>312</v>
      </c>
      <c r="G51" s="93">
        <f t="shared" si="0"/>
        <v>4040737.46</v>
      </c>
      <c r="H51" s="94">
        <v>4040737.46</v>
      </c>
      <c r="I51" s="93">
        <f t="shared" si="1"/>
        <v>3511612.1500000004</v>
      </c>
      <c r="J51" s="94">
        <f>288014.08+323337.68+1227608.57+866510.6+348791.62+227148.27+230201.33</f>
        <v>3511612.1500000004</v>
      </c>
      <c r="K51" s="93">
        <f t="shared" si="2"/>
        <v>529125.30999999959</v>
      </c>
      <c r="L51" s="95">
        <f t="shared" si="3"/>
        <v>529125.30999999959</v>
      </c>
      <c r="M51" s="96" t="s">
        <v>79</v>
      </c>
      <c r="N51" s="120">
        <f t="shared" si="4"/>
        <v>0.86905229175666376</v>
      </c>
      <c r="O51" s="318">
        <v>0.84</v>
      </c>
      <c r="P51" s="97" t="s">
        <v>32</v>
      </c>
      <c r="Q51" s="98">
        <v>1</v>
      </c>
      <c r="R51" s="99">
        <v>877190</v>
      </c>
      <c r="S51" s="101" t="s">
        <v>33</v>
      </c>
      <c r="T51" s="101" t="s">
        <v>33</v>
      </c>
      <c r="U51" s="102" t="s">
        <v>34</v>
      </c>
      <c r="V51" s="140"/>
      <c r="W51" s="140"/>
    </row>
    <row r="52" spans="1:23" s="79" customFormat="1" ht="53.25" customHeight="1">
      <c r="A52" s="87" t="s">
        <v>230</v>
      </c>
      <c r="B52" s="88">
        <v>43728</v>
      </c>
      <c r="C52" s="89" t="s">
        <v>986</v>
      </c>
      <c r="D52" s="90" t="s">
        <v>41</v>
      </c>
      <c r="E52" s="91" t="s">
        <v>313</v>
      </c>
      <c r="F52" s="92" t="s">
        <v>314</v>
      </c>
      <c r="G52" s="93">
        <f t="shared" si="0"/>
        <v>2116792.4500000002</v>
      </c>
      <c r="H52" s="94">
        <v>2116792.4500000002</v>
      </c>
      <c r="I52" s="93">
        <f t="shared" si="1"/>
        <v>1454467.37</v>
      </c>
      <c r="J52" s="94">
        <f>3841.46+100149.08+225367.1+520820.93+28056.92+228470.72+347761.16</f>
        <v>1454467.37</v>
      </c>
      <c r="K52" s="93">
        <f t="shared" si="2"/>
        <v>662325.08000000007</v>
      </c>
      <c r="L52" s="95">
        <f t="shared" si="3"/>
        <v>662325.08000000007</v>
      </c>
      <c r="M52" s="96" t="s">
        <v>79</v>
      </c>
      <c r="N52" s="120">
        <f t="shared" si="4"/>
        <v>0.68710910698873662</v>
      </c>
      <c r="O52" s="318">
        <v>0.66149999999999998</v>
      </c>
      <c r="P52" s="97" t="s">
        <v>32</v>
      </c>
      <c r="Q52" s="98">
        <v>1</v>
      </c>
      <c r="R52" s="99">
        <v>877190</v>
      </c>
      <c r="S52" s="101" t="s">
        <v>33</v>
      </c>
      <c r="T52" s="101" t="s">
        <v>33</v>
      </c>
      <c r="U52" s="102" t="s">
        <v>34</v>
      </c>
      <c r="V52" s="140"/>
      <c r="W52" s="140"/>
    </row>
    <row r="53" spans="1:23" s="79" customFormat="1" ht="53.25" customHeight="1">
      <c r="A53" s="87" t="s">
        <v>230</v>
      </c>
      <c r="B53" s="88">
        <v>43538</v>
      </c>
      <c r="C53" s="89" t="s">
        <v>315</v>
      </c>
      <c r="D53" s="90" t="s">
        <v>82</v>
      </c>
      <c r="E53" s="91" t="s">
        <v>316</v>
      </c>
      <c r="F53" s="92" t="s">
        <v>317</v>
      </c>
      <c r="G53" s="93">
        <f t="shared" si="0"/>
        <v>2148121.04</v>
      </c>
      <c r="H53" s="94">
        <v>2148121.04</v>
      </c>
      <c r="I53" s="93">
        <f t="shared" si="1"/>
        <v>2046215.53</v>
      </c>
      <c r="J53" s="94">
        <f>617805+349792.62+353294.9+725323.01</f>
        <v>2046215.53</v>
      </c>
      <c r="K53" s="93">
        <f t="shared" si="2"/>
        <v>101905.51000000001</v>
      </c>
      <c r="L53" s="95">
        <f t="shared" si="3"/>
        <v>101905.51000000001</v>
      </c>
      <c r="M53" s="96" t="s">
        <v>36</v>
      </c>
      <c r="N53" s="120">
        <f t="shared" si="4"/>
        <v>0.9525606294513087</v>
      </c>
      <c r="O53" s="318">
        <v>1</v>
      </c>
      <c r="P53" s="97" t="s">
        <v>85</v>
      </c>
      <c r="Q53" s="98">
        <v>1200.3</v>
      </c>
      <c r="R53" s="99">
        <v>200</v>
      </c>
      <c r="S53" s="101" t="s">
        <v>143</v>
      </c>
      <c r="T53" s="101" t="s">
        <v>566</v>
      </c>
      <c r="U53" s="102" t="s">
        <v>567</v>
      </c>
      <c r="V53" s="140"/>
      <c r="W53" s="140"/>
    </row>
    <row r="54" spans="1:23" s="79" customFormat="1" ht="53.25" customHeight="1">
      <c r="A54" s="87" t="s">
        <v>230</v>
      </c>
      <c r="B54" s="88">
        <v>43538</v>
      </c>
      <c r="C54" s="89" t="s">
        <v>318</v>
      </c>
      <c r="D54" s="90" t="s">
        <v>82</v>
      </c>
      <c r="E54" s="91" t="s">
        <v>319</v>
      </c>
      <c r="F54" s="92" t="s">
        <v>320</v>
      </c>
      <c r="G54" s="93">
        <f t="shared" si="0"/>
        <v>2291051.7599999998</v>
      </c>
      <c r="H54" s="94">
        <v>2291051.7599999998</v>
      </c>
      <c r="I54" s="93">
        <f t="shared" si="1"/>
        <v>1481058.8</v>
      </c>
      <c r="J54" s="94">
        <f>651103.59+126889.41+249504.55+453561.25</f>
        <v>1481058.8</v>
      </c>
      <c r="K54" s="93">
        <f t="shared" si="2"/>
        <v>809992.95999999973</v>
      </c>
      <c r="L54" s="95">
        <f t="shared" si="3"/>
        <v>809992.95999999973</v>
      </c>
      <c r="M54" s="96" t="s">
        <v>36</v>
      </c>
      <c r="N54" s="120">
        <f t="shared" si="4"/>
        <v>0.64645366196353427</v>
      </c>
      <c r="O54" s="318">
        <v>0.99</v>
      </c>
      <c r="P54" s="97" t="s">
        <v>32</v>
      </c>
      <c r="Q54" s="98">
        <v>1</v>
      </c>
      <c r="R54" s="99">
        <v>500</v>
      </c>
      <c r="S54" s="101" t="s">
        <v>143</v>
      </c>
      <c r="T54" s="101" t="s">
        <v>568</v>
      </c>
      <c r="U54" s="102" t="s">
        <v>569</v>
      </c>
      <c r="V54" s="140"/>
      <c r="W54" s="140"/>
    </row>
    <row r="55" spans="1:23" s="79" customFormat="1" ht="53.25" customHeight="1">
      <c r="A55" s="87" t="s">
        <v>230</v>
      </c>
      <c r="B55" s="88">
        <v>43538</v>
      </c>
      <c r="C55" s="89" t="s">
        <v>321</v>
      </c>
      <c r="D55" s="90" t="s">
        <v>82</v>
      </c>
      <c r="E55" s="91" t="s">
        <v>322</v>
      </c>
      <c r="F55" s="92" t="s">
        <v>323</v>
      </c>
      <c r="G55" s="93">
        <f t="shared" si="0"/>
        <v>2320524.9700000002</v>
      </c>
      <c r="H55" s="94">
        <v>2320524.9700000002</v>
      </c>
      <c r="I55" s="93">
        <f t="shared" si="1"/>
        <v>2195805.8600000003</v>
      </c>
      <c r="J55" s="94">
        <f>659589.02+69445.01+250176.5+1216595.33</f>
        <v>2195805.8600000003</v>
      </c>
      <c r="K55" s="93">
        <f t="shared" si="2"/>
        <v>124719.10999999987</v>
      </c>
      <c r="L55" s="95">
        <f t="shared" si="3"/>
        <v>124719.10999999987</v>
      </c>
      <c r="M55" s="96" t="s">
        <v>36</v>
      </c>
      <c r="N55" s="120">
        <f t="shared" si="4"/>
        <v>0.94625392460224211</v>
      </c>
      <c r="O55" s="318">
        <v>1</v>
      </c>
      <c r="P55" s="97" t="s">
        <v>32</v>
      </c>
      <c r="Q55" s="98">
        <v>1</v>
      </c>
      <c r="R55" s="99">
        <v>500</v>
      </c>
      <c r="S55" s="101" t="s">
        <v>143</v>
      </c>
      <c r="T55" s="101" t="s">
        <v>570</v>
      </c>
      <c r="U55" s="102" t="s">
        <v>571</v>
      </c>
      <c r="V55" s="140"/>
      <c r="W55" s="140"/>
    </row>
    <row r="56" spans="1:23" s="79" customFormat="1" ht="53.25" customHeight="1">
      <c r="A56" s="87" t="s">
        <v>230</v>
      </c>
      <c r="B56" s="88">
        <v>43731</v>
      </c>
      <c r="C56" s="89" t="s">
        <v>987</v>
      </c>
      <c r="D56" s="90"/>
      <c r="E56" s="91" t="s">
        <v>324</v>
      </c>
      <c r="F56" s="92" t="s">
        <v>325</v>
      </c>
      <c r="G56" s="93">
        <f t="shared" si="0"/>
        <v>327900.26</v>
      </c>
      <c r="H56" s="94">
        <v>327900.26</v>
      </c>
      <c r="I56" s="93">
        <f t="shared" si="1"/>
        <v>327900.26</v>
      </c>
      <c r="J56" s="94">
        <f>98370.08+166495.06+63035.12</f>
        <v>327900.26</v>
      </c>
      <c r="K56" s="93">
        <f t="shared" si="2"/>
        <v>0</v>
      </c>
      <c r="L56" s="95">
        <f t="shared" si="3"/>
        <v>0</v>
      </c>
      <c r="M56" s="96" t="s">
        <v>36</v>
      </c>
      <c r="N56" s="120">
        <f t="shared" si="4"/>
        <v>1</v>
      </c>
      <c r="O56" s="318">
        <v>1</v>
      </c>
      <c r="P56" s="131" t="s">
        <v>326</v>
      </c>
      <c r="Q56" s="98">
        <v>20</v>
      </c>
      <c r="R56" s="99">
        <v>200</v>
      </c>
      <c r="S56" s="101" t="s">
        <v>149</v>
      </c>
      <c r="T56" s="101" t="s">
        <v>572</v>
      </c>
      <c r="U56" s="102" t="s">
        <v>573</v>
      </c>
      <c r="V56" s="140"/>
      <c r="W56" s="140"/>
    </row>
    <row r="57" spans="1:23" s="79" customFormat="1" ht="53.25" customHeight="1">
      <c r="A57" s="87" t="s">
        <v>128</v>
      </c>
      <c r="B57" s="88">
        <v>43671</v>
      </c>
      <c r="C57" s="89" t="s">
        <v>690</v>
      </c>
      <c r="D57" s="90"/>
      <c r="E57" s="91" t="s">
        <v>544</v>
      </c>
      <c r="F57" s="92" t="s">
        <v>545</v>
      </c>
      <c r="G57" s="93">
        <f t="shared" si="0"/>
        <v>0</v>
      </c>
      <c r="H57" s="94">
        <v>0</v>
      </c>
      <c r="I57" s="93">
        <f t="shared" si="1"/>
        <v>0</v>
      </c>
      <c r="J57" s="94">
        <v>0</v>
      </c>
      <c r="K57" s="93">
        <f t="shared" si="2"/>
        <v>0</v>
      </c>
      <c r="L57" s="95">
        <f t="shared" si="3"/>
        <v>0</v>
      </c>
      <c r="M57" s="96" t="s">
        <v>79</v>
      </c>
      <c r="N57" s="120">
        <v>0</v>
      </c>
      <c r="O57" s="318">
        <v>0</v>
      </c>
      <c r="P57" s="131" t="s">
        <v>546</v>
      </c>
      <c r="Q57" s="98">
        <v>197</v>
      </c>
      <c r="R57" s="99">
        <v>1000000</v>
      </c>
      <c r="S57" s="101" t="s">
        <v>33</v>
      </c>
      <c r="T57" s="101" t="s">
        <v>33</v>
      </c>
      <c r="U57" s="102" t="s">
        <v>34</v>
      </c>
      <c r="V57" s="140"/>
      <c r="W57" s="140"/>
    </row>
    <row r="58" spans="1:23" s="79" customFormat="1" ht="94.5" customHeight="1">
      <c r="A58" s="87" t="s">
        <v>230</v>
      </c>
      <c r="B58" s="88">
        <v>43502</v>
      </c>
      <c r="C58" s="89" t="s">
        <v>140</v>
      </c>
      <c r="D58" s="90" t="s">
        <v>122</v>
      </c>
      <c r="E58" s="91" t="s">
        <v>141</v>
      </c>
      <c r="F58" s="92" t="s">
        <v>142</v>
      </c>
      <c r="G58" s="93">
        <f t="shared" si="0"/>
        <v>1549614.96</v>
      </c>
      <c r="H58" s="94">
        <v>1549614.96</v>
      </c>
      <c r="I58" s="93">
        <f t="shared" si="1"/>
        <v>1525916.51</v>
      </c>
      <c r="J58" s="94">
        <f>202983.45+111950.35+297360.72+318969.57+229070.39+365582.03</f>
        <v>1525916.51</v>
      </c>
      <c r="K58" s="93">
        <f t="shared" si="2"/>
        <v>23698.449999999953</v>
      </c>
      <c r="L58" s="95">
        <f t="shared" si="3"/>
        <v>23698.449999999953</v>
      </c>
      <c r="M58" s="96" t="s">
        <v>36</v>
      </c>
      <c r="N58" s="120">
        <f t="shared" si="4"/>
        <v>0.98470687841062143</v>
      </c>
      <c r="O58" s="120">
        <v>0.96</v>
      </c>
      <c r="P58" s="97" t="s">
        <v>32</v>
      </c>
      <c r="Q58" s="98">
        <v>1</v>
      </c>
      <c r="R58" s="99">
        <v>50000</v>
      </c>
      <c r="S58" s="101" t="s">
        <v>143</v>
      </c>
      <c r="T58" s="101" t="s">
        <v>144</v>
      </c>
      <c r="U58" s="102" t="s">
        <v>145</v>
      </c>
      <c r="V58" s="140"/>
      <c r="W58" s="140"/>
    </row>
    <row r="59" spans="1:23" s="79" customFormat="1" ht="61.5" customHeight="1">
      <c r="A59" s="87" t="s">
        <v>128</v>
      </c>
      <c r="B59" s="88">
        <v>43594</v>
      </c>
      <c r="C59" s="89" t="s">
        <v>547</v>
      </c>
      <c r="D59" s="90"/>
      <c r="E59" s="91" t="s">
        <v>548</v>
      </c>
      <c r="F59" s="92" t="s">
        <v>549</v>
      </c>
      <c r="G59" s="93">
        <f t="shared" si="0"/>
        <v>1500000</v>
      </c>
      <c r="H59" s="94">
        <v>1500000</v>
      </c>
      <c r="I59" s="93">
        <f t="shared" si="1"/>
        <v>703635.33</v>
      </c>
      <c r="J59" s="94">
        <f>434799.1+268836.23</f>
        <v>703635.33</v>
      </c>
      <c r="K59" s="93">
        <f t="shared" si="2"/>
        <v>796364.67</v>
      </c>
      <c r="L59" s="95">
        <f t="shared" si="3"/>
        <v>796364.67</v>
      </c>
      <c r="M59" s="96" t="s">
        <v>36</v>
      </c>
      <c r="N59" s="120">
        <f t="shared" si="4"/>
        <v>0.46909021999999995</v>
      </c>
      <c r="O59" s="120">
        <v>0.8</v>
      </c>
      <c r="P59" s="97" t="s">
        <v>32</v>
      </c>
      <c r="Q59" s="98">
        <v>1</v>
      </c>
      <c r="R59" s="99">
        <v>5000</v>
      </c>
      <c r="S59" s="101" t="s">
        <v>143</v>
      </c>
      <c r="T59" s="101" t="s">
        <v>572</v>
      </c>
      <c r="U59" s="102" t="s">
        <v>691</v>
      </c>
      <c r="V59" s="140"/>
      <c r="W59" s="140"/>
    </row>
    <row r="60" spans="1:23" s="79" customFormat="1" ht="63.75" customHeight="1">
      <c r="A60" s="87" t="s">
        <v>230</v>
      </c>
      <c r="B60" s="88">
        <v>43560</v>
      </c>
      <c r="C60" s="89" t="s">
        <v>430</v>
      </c>
      <c r="D60" s="90"/>
      <c r="E60" s="91" t="s">
        <v>431</v>
      </c>
      <c r="F60" s="92" t="s">
        <v>432</v>
      </c>
      <c r="G60" s="93">
        <f t="shared" si="0"/>
        <v>2146556.71</v>
      </c>
      <c r="H60" s="94">
        <v>2146556.71</v>
      </c>
      <c r="I60" s="93">
        <f t="shared" si="1"/>
        <v>1531261.1400000001</v>
      </c>
      <c r="J60" s="94">
        <f>620063.08+911198.06</f>
        <v>1531261.1400000001</v>
      </c>
      <c r="K60" s="93">
        <f t="shared" si="2"/>
        <v>615295.56999999983</v>
      </c>
      <c r="L60" s="95">
        <f t="shared" si="3"/>
        <v>615295.56999999983</v>
      </c>
      <c r="M60" s="96" t="s">
        <v>36</v>
      </c>
      <c r="N60" s="120">
        <f t="shared" si="4"/>
        <v>0.71335694643725489</v>
      </c>
      <c r="O60" s="120">
        <v>0.75</v>
      </c>
      <c r="P60" s="97" t="s">
        <v>32</v>
      </c>
      <c r="Q60" s="98">
        <v>1</v>
      </c>
      <c r="R60" s="99">
        <v>100000</v>
      </c>
      <c r="S60" s="101" t="s">
        <v>143</v>
      </c>
      <c r="T60" s="101" t="s">
        <v>574</v>
      </c>
      <c r="U60" s="102" t="s">
        <v>575</v>
      </c>
      <c r="V60" s="140"/>
      <c r="W60" s="140"/>
    </row>
    <row r="61" spans="1:23" s="79" customFormat="1" ht="63" customHeight="1">
      <c r="A61" s="87" t="s">
        <v>230</v>
      </c>
      <c r="B61" s="88">
        <v>43670</v>
      </c>
      <c r="C61" s="89" t="s">
        <v>692</v>
      </c>
      <c r="D61" s="90"/>
      <c r="E61" s="91" t="s">
        <v>433</v>
      </c>
      <c r="F61" s="92" t="s">
        <v>434</v>
      </c>
      <c r="G61" s="93">
        <f t="shared" si="0"/>
        <v>850506.3</v>
      </c>
      <c r="H61" s="94">
        <v>850506.3</v>
      </c>
      <c r="I61" s="93">
        <f t="shared" si="1"/>
        <v>829431.35</v>
      </c>
      <c r="J61" s="94">
        <f>255151.89+574279.46</f>
        <v>829431.35</v>
      </c>
      <c r="K61" s="93">
        <f t="shared" si="2"/>
        <v>21074.95000000007</v>
      </c>
      <c r="L61" s="95">
        <f t="shared" si="3"/>
        <v>21074.95000000007</v>
      </c>
      <c r="M61" s="96" t="s">
        <v>36</v>
      </c>
      <c r="N61" s="120">
        <f t="shared" si="4"/>
        <v>0.9752207008931032</v>
      </c>
      <c r="O61" s="120">
        <v>1</v>
      </c>
      <c r="P61" s="97" t="s">
        <v>32</v>
      </c>
      <c r="Q61" s="98">
        <v>1</v>
      </c>
      <c r="R61" s="99">
        <v>5000</v>
      </c>
      <c r="S61" s="101" t="s">
        <v>149</v>
      </c>
      <c r="T61" s="101" t="s">
        <v>576</v>
      </c>
      <c r="U61" s="102" t="s">
        <v>577</v>
      </c>
      <c r="V61" s="140"/>
      <c r="W61" s="140"/>
    </row>
    <row r="62" spans="1:23" s="79" customFormat="1" ht="63" customHeight="1">
      <c r="A62" s="87" t="s">
        <v>128</v>
      </c>
      <c r="B62" s="88">
        <v>43595</v>
      </c>
      <c r="C62" s="89" t="s">
        <v>550</v>
      </c>
      <c r="D62" s="90"/>
      <c r="E62" s="91" t="s">
        <v>551</v>
      </c>
      <c r="F62" s="92" t="s">
        <v>552</v>
      </c>
      <c r="G62" s="93">
        <f t="shared" si="0"/>
        <v>1083342.28</v>
      </c>
      <c r="H62" s="94">
        <v>1083342.28</v>
      </c>
      <c r="I62" s="93">
        <f t="shared" si="1"/>
        <v>664881.75</v>
      </c>
      <c r="J62" s="94">
        <f>315549.41+349332.34</f>
        <v>664881.75</v>
      </c>
      <c r="K62" s="93">
        <f t="shared" si="2"/>
        <v>418460.53</v>
      </c>
      <c r="L62" s="95">
        <f t="shared" si="3"/>
        <v>418460.53</v>
      </c>
      <c r="M62" s="96" t="s">
        <v>36</v>
      </c>
      <c r="N62" s="120">
        <f t="shared" si="4"/>
        <v>0.61373193151844863</v>
      </c>
      <c r="O62" s="120">
        <v>0.83</v>
      </c>
      <c r="P62" s="97" t="s">
        <v>32</v>
      </c>
      <c r="Q62" s="98">
        <v>1</v>
      </c>
      <c r="R62" s="99">
        <v>5000</v>
      </c>
      <c r="S62" s="101" t="s">
        <v>143</v>
      </c>
      <c r="T62" s="269" t="s">
        <v>693</v>
      </c>
      <c r="U62" s="102" t="s">
        <v>694</v>
      </c>
      <c r="V62" s="140"/>
      <c r="W62" s="140"/>
    </row>
    <row r="63" spans="1:23" s="79" customFormat="1" ht="54" customHeight="1">
      <c r="A63" s="87" t="s">
        <v>230</v>
      </c>
      <c r="B63" s="88">
        <v>43683</v>
      </c>
      <c r="C63" s="89" t="s">
        <v>804</v>
      </c>
      <c r="D63" s="90"/>
      <c r="E63" s="91" t="s">
        <v>435</v>
      </c>
      <c r="F63" s="92" t="s">
        <v>436</v>
      </c>
      <c r="G63" s="93">
        <f t="shared" si="0"/>
        <v>627814.27</v>
      </c>
      <c r="H63" s="94">
        <v>627814.27</v>
      </c>
      <c r="I63" s="93">
        <f t="shared" si="1"/>
        <v>627814.27</v>
      </c>
      <c r="J63" s="94">
        <f>185979.16+350901.31+90933.8</f>
        <v>627814.27</v>
      </c>
      <c r="K63" s="93">
        <f t="shared" si="2"/>
        <v>0</v>
      </c>
      <c r="L63" s="95">
        <f t="shared" si="3"/>
        <v>0</v>
      </c>
      <c r="M63" s="96" t="s">
        <v>36</v>
      </c>
      <c r="N63" s="120">
        <f t="shared" si="4"/>
        <v>1</v>
      </c>
      <c r="O63" s="120">
        <v>1</v>
      </c>
      <c r="P63" s="97" t="s">
        <v>32</v>
      </c>
      <c r="Q63" s="98">
        <v>1</v>
      </c>
      <c r="R63" s="99">
        <v>2000</v>
      </c>
      <c r="S63" s="101" t="s">
        <v>149</v>
      </c>
      <c r="T63" s="101" t="s">
        <v>228</v>
      </c>
      <c r="U63" s="102" t="s">
        <v>578</v>
      </c>
      <c r="V63" s="140"/>
      <c r="W63" s="140"/>
    </row>
    <row r="64" spans="1:23" s="79" customFormat="1" ht="54" customHeight="1">
      <c r="A64" s="87" t="s">
        <v>230</v>
      </c>
      <c r="B64" s="88">
        <v>43683</v>
      </c>
      <c r="C64" s="89" t="s">
        <v>805</v>
      </c>
      <c r="D64" s="90"/>
      <c r="E64" s="91" t="s">
        <v>437</v>
      </c>
      <c r="F64" s="92" t="s">
        <v>438</v>
      </c>
      <c r="G64" s="93">
        <f t="shared" si="0"/>
        <v>1095229.08</v>
      </c>
      <c r="H64" s="94">
        <v>1095229.08</v>
      </c>
      <c r="I64" s="93">
        <f t="shared" si="1"/>
        <v>1095229.08</v>
      </c>
      <c r="J64" s="94">
        <f>320856.86+604697.36+169674.86</f>
        <v>1095229.08</v>
      </c>
      <c r="K64" s="93">
        <f t="shared" si="2"/>
        <v>0</v>
      </c>
      <c r="L64" s="95">
        <f t="shared" si="3"/>
        <v>0</v>
      </c>
      <c r="M64" s="96" t="s">
        <v>36</v>
      </c>
      <c r="N64" s="120">
        <f t="shared" si="4"/>
        <v>1</v>
      </c>
      <c r="O64" s="120">
        <v>1</v>
      </c>
      <c r="P64" s="97" t="s">
        <v>32</v>
      </c>
      <c r="Q64" s="98">
        <v>1</v>
      </c>
      <c r="R64" s="99">
        <v>2000</v>
      </c>
      <c r="S64" s="101" t="s">
        <v>149</v>
      </c>
      <c r="T64" s="101" t="s">
        <v>579</v>
      </c>
      <c r="U64" s="102" t="s">
        <v>580</v>
      </c>
      <c r="V64" s="140"/>
      <c r="W64" s="140"/>
    </row>
    <row r="65" spans="1:23" s="79" customFormat="1" ht="54" customHeight="1">
      <c r="A65" s="87" t="s">
        <v>230</v>
      </c>
      <c r="B65" s="88">
        <v>43570</v>
      </c>
      <c r="C65" s="89" t="s">
        <v>439</v>
      </c>
      <c r="D65" s="90"/>
      <c r="E65" s="91" t="s">
        <v>440</v>
      </c>
      <c r="F65" s="92" t="s">
        <v>441</v>
      </c>
      <c r="G65" s="93">
        <f t="shared" si="0"/>
        <v>1050001.2</v>
      </c>
      <c r="H65" s="94">
        <v>1050001.2</v>
      </c>
      <c r="I65" s="93">
        <f t="shared" si="1"/>
        <v>842200.62</v>
      </c>
      <c r="J65" s="94">
        <f>311018.78+428836.21+102345.63</f>
        <v>842200.62</v>
      </c>
      <c r="K65" s="93">
        <f t="shared" si="2"/>
        <v>207800.57999999996</v>
      </c>
      <c r="L65" s="95">
        <f t="shared" si="3"/>
        <v>207800.57999999996</v>
      </c>
      <c r="M65" s="96" t="s">
        <v>36</v>
      </c>
      <c r="N65" s="120">
        <f t="shared" si="4"/>
        <v>0.80209491189152926</v>
      </c>
      <c r="O65" s="120">
        <v>1</v>
      </c>
      <c r="P65" s="97" t="s">
        <v>32</v>
      </c>
      <c r="Q65" s="98">
        <v>1</v>
      </c>
      <c r="R65" s="99">
        <v>2000</v>
      </c>
      <c r="S65" s="101" t="s">
        <v>143</v>
      </c>
      <c r="T65" s="101" t="s">
        <v>206</v>
      </c>
      <c r="U65" s="102" t="s">
        <v>581</v>
      </c>
      <c r="V65" s="140"/>
      <c r="W65" s="140"/>
    </row>
    <row r="66" spans="1:23" s="79" customFormat="1" ht="54" customHeight="1">
      <c r="A66" s="87" t="s">
        <v>230</v>
      </c>
      <c r="B66" s="88">
        <v>43570</v>
      </c>
      <c r="C66" s="89" t="s">
        <v>442</v>
      </c>
      <c r="D66" s="90"/>
      <c r="E66" s="91" t="s">
        <v>443</v>
      </c>
      <c r="F66" s="92" t="s">
        <v>444</v>
      </c>
      <c r="G66" s="93">
        <f t="shared" si="0"/>
        <v>2500002.37</v>
      </c>
      <c r="H66" s="94">
        <v>2500002.37</v>
      </c>
      <c r="I66" s="93">
        <f t="shared" si="1"/>
        <v>2500000.0000000005</v>
      </c>
      <c r="J66" s="94">
        <f>1696395.02+477701.97+300928.81+24974.2</f>
        <v>2500000.0000000005</v>
      </c>
      <c r="K66" s="93">
        <f t="shared" si="2"/>
        <v>2.3699999996460974</v>
      </c>
      <c r="L66" s="95">
        <f t="shared" si="3"/>
        <v>2.3699999996460974</v>
      </c>
      <c r="M66" s="96" t="s">
        <v>36</v>
      </c>
      <c r="N66" s="120">
        <f t="shared" si="4"/>
        <v>0.99999905200089889</v>
      </c>
      <c r="O66" s="120">
        <v>1</v>
      </c>
      <c r="P66" s="97" t="s">
        <v>32</v>
      </c>
      <c r="Q66" s="98">
        <v>1</v>
      </c>
      <c r="R66" s="99">
        <v>2000</v>
      </c>
      <c r="S66" s="101" t="s">
        <v>143</v>
      </c>
      <c r="T66" s="101" t="s">
        <v>579</v>
      </c>
      <c r="U66" s="102" t="s">
        <v>592</v>
      </c>
      <c r="V66" s="140"/>
      <c r="W66" s="140"/>
    </row>
    <row r="67" spans="1:23" s="79" customFormat="1" ht="54" customHeight="1">
      <c r="A67" s="87" t="s">
        <v>230</v>
      </c>
      <c r="B67" s="88">
        <v>43570</v>
      </c>
      <c r="C67" s="89" t="s">
        <v>445</v>
      </c>
      <c r="D67" s="90"/>
      <c r="E67" s="91" t="s">
        <v>446</v>
      </c>
      <c r="F67" s="92" t="s">
        <v>447</v>
      </c>
      <c r="G67" s="93">
        <f t="shared" si="0"/>
        <v>2190003.27</v>
      </c>
      <c r="H67" s="94">
        <v>2190003.27</v>
      </c>
      <c r="I67" s="93">
        <f t="shared" si="1"/>
        <v>2136502.02</v>
      </c>
      <c r="J67" s="94">
        <f>650903.68+1061152.94+424445.4</f>
        <v>2136502.02</v>
      </c>
      <c r="K67" s="93">
        <f t="shared" si="2"/>
        <v>53501.25</v>
      </c>
      <c r="L67" s="95">
        <f t="shared" si="3"/>
        <v>53501.25</v>
      </c>
      <c r="M67" s="96" t="s">
        <v>36</v>
      </c>
      <c r="N67" s="120">
        <f t="shared" si="4"/>
        <v>0.97557024195676201</v>
      </c>
      <c r="O67" s="120">
        <v>1</v>
      </c>
      <c r="P67" s="97" t="s">
        <v>32</v>
      </c>
      <c r="Q67" s="98">
        <v>1</v>
      </c>
      <c r="R67" s="99">
        <v>2000</v>
      </c>
      <c r="S67" s="101" t="s">
        <v>143</v>
      </c>
      <c r="T67" s="101" t="s">
        <v>582</v>
      </c>
      <c r="U67" s="102" t="s">
        <v>583</v>
      </c>
      <c r="V67" s="140"/>
      <c r="W67" s="140"/>
    </row>
    <row r="68" spans="1:23" s="79" customFormat="1" ht="54" customHeight="1">
      <c r="A68" s="87" t="s">
        <v>230</v>
      </c>
      <c r="B68" s="88">
        <v>43570</v>
      </c>
      <c r="C68" s="89" t="s">
        <v>448</v>
      </c>
      <c r="D68" s="90"/>
      <c r="E68" s="91" t="s">
        <v>388</v>
      </c>
      <c r="F68" s="92" t="s">
        <v>449</v>
      </c>
      <c r="G68" s="93">
        <f t="shared" si="0"/>
        <v>670000</v>
      </c>
      <c r="H68" s="94">
        <v>670000</v>
      </c>
      <c r="I68" s="93">
        <f t="shared" si="1"/>
        <v>643830.64</v>
      </c>
      <c r="J68" s="94">
        <f>200139+200015.51+243676.13</f>
        <v>643830.64</v>
      </c>
      <c r="K68" s="93">
        <f t="shared" si="2"/>
        <v>26169.359999999986</v>
      </c>
      <c r="L68" s="95">
        <f t="shared" si="3"/>
        <v>26169.359999999986</v>
      </c>
      <c r="M68" s="96" t="s">
        <v>36</v>
      </c>
      <c r="N68" s="120">
        <f t="shared" si="4"/>
        <v>0.96094125373134331</v>
      </c>
      <c r="O68" s="120">
        <v>1</v>
      </c>
      <c r="P68" s="97" t="s">
        <v>32</v>
      </c>
      <c r="Q68" s="98">
        <v>1</v>
      </c>
      <c r="R68" s="99">
        <v>2000</v>
      </c>
      <c r="S68" s="101" t="s">
        <v>143</v>
      </c>
      <c r="T68" s="101" t="s">
        <v>219</v>
      </c>
      <c r="U68" s="102" t="s">
        <v>584</v>
      </c>
      <c r="V68" s="140"/>
      <c r="W68" s="140"/>
    </row>
    <row r="69" spans="1:23" s="79" customFormat="1" ht="58.5" customHeight="1">
      <c r="A69" s="87" t="s">
        <v>230</v>
      </c>
      <c r="B69" s="88">
        <v>43594</v>
      </c>
      <c r="C69" s="89" t="s">
        <v>553</v>
      </c>
      <c r="D69" s="90"/>
      <c r="E69" s="91" t="s">
        <v>554</v>
      </c>
      <c r="F69" s="92" t="s">
        <v>555</v>
      </c>
      <c r="G69" s="93">
        <f t="shared" si="0"/>
        <v>1831800.78</v>
      </c>
      <c r="H69" s="94">
        <v>1831800.78</v>
      </c>
      <c r="I69" s="93">
        <f t="shared" si="1"/>
        <v>1831800.7700000003</v>
      </c>
      <c r="J69" s="94">
        <f>534605.17+1238614.07+58581.53</f>
        <v>1831800.7700000003</v>
      </c>
      <c r="K69" s="93">
        <f t="shared" si="2"/>
        <v>9.9999997764825821E-3</v>
      </c>
      <c r="L69" s="95">
        <f t="shared" si="3"/>
        <v>9.9999997764825821E-3</v>
      </c>
      <c r="M69" s="96" t="s">
        <v>36</v>
      </c>
      <c r="N69" s="120">
        <f t="shared" si="4"/>
        <v>0.99999999454089117</v>
      </c>
      <c r="O69" s="318">
        <v>1</v>
      </c>
      <c r="P69" s="97" t="s">
        <v>85</v>
      </c>
      <c r="Q69" s="98">
        <v>10215.86</v>
      </c>
      <c r="R69" s="99">
        <v>500000</v>
      </c>
      <c r="S69" s="101" t="s">
        <v>143</v>
      </c>
      <c r="T69" s="101" t="s">
        <v>263</v>
      </c>
      <c r="U69" s="102" t="s">
        <v>593</v>
      </c>
      <c r="V69" s="140"/>
      <c r="W69" s="140"/>
    </row>
    <row r="70" spans="1:23" s="79" customFormat="1" ht="54" customHeight="1">
      <c r="A70" s="87" t="s">
        <v>230</v>
      </c>
      <c r="B70" s="88">
        <v>43733</v>
      </c>
      <c r="C70" s="89" t="s">
        <v>988</v>
      </c>
      <c r="D70" s="90"/>
      <c r="E70" s="91" t="s">
        <v>556</v>
      </c>
      <c r="F70" s="92" t="s">
        <v>557</v>
      </c>
      <c r="G70" s="93">
        <f t="shared" si="0"/>
        <v>291268.69</v>
      </c>
      <c r="H70" s="94">
        <v>291268.69</v>
      </c>
      <c r="I70" s="93">
        <f t="shared" si="1"/>
        <v>291268.69</v>
      </c>
      <c r="J70" s="94">
        <f>87380.61+108740.31+81555.24+13592.53</f>
        <v>291268.69</v>
      </c>
      <c r="K70" s="93">
        <f t="shared" si="2"/>
        <v>0</v>
      </c>
      <c r="L70" s="95">
        <f t="shared" si="3"/>
        <v>0</v>
      </c>
      <c r="M70" s="96" t="s">
        <v>36</v>
      </c>
      <c r="N70" s="120">
        <f t="shared" si="4"/>
        <v>1</v>
      </c>
      <c r="O70" s="120">
        <v>1</v>
      </c>
      <c r="P70" s="97" t="s">
        <v>32</v>
      </c>
      <c r="Q70" s="98">
        <v>1</v>
      </c>
      <c r="R70" s="99">
        <v>2000</v>
      </c>
      <c r="S70" s="101" t="s">
        <v>143</v>
      </c>
      <c r="T70" s="101" t="s">
        <v>206</v>
      </c>
      <c r="U70" s="102" t="s">
        <v>558</v>
      </c>
      <c r="V70" s="140"/>
      <c r="W70" s="140"/>
    </row>
    <row r="71" spans="1:23" s="79" customFormat="1" ht="87.75" customHeight="1">
      <c r="A71" s="87" t="s">
        <v>230</v>
      </c>
      <c r="B71" s="88">
        <v>43650</v>
      </c>
      <c r="C71" s="89" t="s">
        <v>695</v>
      </c>
      <c r="D71" s="90" t="s">
        <v>146</v>
      </c>
      <c r="E71" s="91" t="s">
        <v>147</v>
      </c>
      <c r="F71" s="92" t="s">
        <v>148</v>
      </c>
      <c r="G71" s="93">
        <f t="shared" si="0"/>
        <v>9519833.8499999996</v>
      </c>
      <c r="H71" s="94">
        <v>9519833.8499999996</v>
      </c>
      <c r="I71" s="93">
        <f t="shared" si="1"/>
        <v>9519833.790000001</v>
      </c>
      <c r="J71" s="94">
        <f>3585711.65+1499378.09+4270279.99+164464.06</f>
        <v>9519833.790000001</v>
      </c>
      <c r="K71" s="93">
        <f t="shared" si="2"/>
        <v>5.9999998658895493E-2</v>
      </c>
      <c r="L71" s="95">
        <f t="shared" si="3"/>
        <v>5.9999998658895493E-2</v>
      </c>
      <c r="M71" s="96" t="s">
        <v>36</v>
      </c>
      <c r="N71" s="120">
        <f t="shared" si="4"/>
        <v>0.99999999369736914</v>
      </c>
      <c r="O71" s="120">
        <v>1</v>
      </c>
      <c r="P71" s="97" t="s">
        <v>32</v>
      </c>
      <c r="Q71" s="98">
        <v>1</v>
      </c>
      <c r="R71" s="99">
        <v>1100000</v>
      </c>
      <c r="S71" s="101" t="s">
        <v>149</v>
      </c>
      <c r="T71" s="101" t="s">
        <v>150</v>
      </c>
      <c r="U71" s="102" t="s">
        <v>151</v>
      </c>
      <c r="V71" s="140"/>
      <c r="W71" s="140"/>
    </row>
    <row r="72" spans="1:23" s="79" customFormat="1" ht="55.5" customHeight="1">
      <c r="A72" s="87" t="s">
        <v>230</v>
      </c>
      <c r="B72" s="88">
        <v>43502</v>
      </c>
      <c r="C72" s="89" t="s">
        <v>152</v>
      </c>
      <c r="D72" s="90" t="s">
        <v>82</v>
      </c>
      <c r="E72" s="91" t="s">
        <v>153</v>
      </c>
      <c r="F72" s="92" t="s">
        <v>154</v>
      </c>
      <c r="G72" s="93">
        <f t="shared" si="0"/>
        <v>1341207.98</v>
      </c>
      <c r="H72" s="94">
        <v>1341207.98</v>
      </c>
      <c r="I72" s="93">
        <f t="shared" si="1"/>
        <v>702725.8899999999</v>
      </c>
      <c r="J72" s="94">
        <f>359878.41+267416.25+75431.23</f>
        <v>702725.8899999999</v>
      </c>
      <c r="K72" s="93">
        <f t="shared" si="2"/>
        <v>638482.09000000008</v>
      </c>
      <c r="L72" s="95">
        <f t="shared" si="3"/>
        <v>638482.09000000008</v>
      </c>
      <c r="M72" s="96" t="s">
        <v>36</v>
      </c>
      <c r="N72" s="120">
        <f t="shared" si="4"/>
        <v>0.52394997679629074</v>
      </c>
      <c r="O72" s="120">
        <v>1</v>
      </c>
      <c r="P72" s="97" t="s">
        <v>85</v>
      </c>
      <c r="Q72" s="98">
        <v>750</v>
      </c>
      <c r="R72" s="99">
        <v>100000</v>
      </c>
      <c r="S72" s="101" t="s">
        <v>143</v>
      </c>
      <c r="T72" s="101" t="s">
        <v>327</v>
      </c>
      <c r="U72" s="102" t="s">
        <v>328</v>
      </c>
      <c r="V72" s="140"/>
      <c r="W72" s="140"/>
    </row>
    <row r="73" spans="1:23" s="79" customFormat="1" ht="82.5" customHeight="1">
      <c r="A73" s="87" t="s">
        <v>230</v>
      </c>
      <c r="B73" s="88">
        <v>43682</v>
      </c>
      <c r="C73" s="89" t="s">
        <v>806</v>
      </c>
      <c r="D73" s="90" t="s">
        <v>82</v>
      </c>
      <c r="E73" s="91" t="s">
        <v>155</v>
      </c>
      <c r="F73" s="92" t="s">
        <v>156</v>
      </c>
      <c r="G73" s="93">
        <f t="shared" si="0"/>
        <v>128155.47</v>
      </c>
      <c r="H73" s="94">
        <v>128155.47</v>
      </c>
      <c r="I73" s="93">
        <f t="shared" si="1"/>
        <v>109913.96</v>
      </c>
      <c r="J73" s="94">
        <f>109913.96</f>
        <v>109913.96</v>
      </c>
      <c r="K73" s="93">
        <f t="shared" si="2"/>
        <v>18241.509999999995</v>
      </c>
      <c r="L73" s="95">
        <f t="shared" si="3"/>
        <v>18241.509999999995</v>
      </c>
      <c r="M73" s="96" t="s">
        <v>36</v>
      </c>
      <c r="N73" s="120">
        <f t="shared" si="4"/>
        <v>0.85766108930036311</v>
      </c>
      <c r="O73" s="120">
        <v>1</v>
      </c>
      <c r="P73" s="97" t="s">
        <v>32</v>
      </c>
      <c r="Q73" s="98">
        <v>1</v>
      </c>
      <c r="R73" s="99">
        <v>100000</v>
      </c>
      <c r="S73" s="101" t="s">
        <v>149</v>
      </c>
      <c r="T73" s="101" t="s">
        <v>696</v>
      </c>
      <c r="U73" s="102" t="s">
        <v>697</v>
      </c>
      <c r="V73" s="140"/>
      <c r="W73" s="140"/>
    </row>
    <row r="74" spans="1:23" s="79" customFormat="1" ht="82.5" customHeight="1">
      <c r="A74" s="87" t="s">
        <v>230</v>
      </c>
      <c r="B74" s="88">
        <v>43640</v>
      </c>
      <c r="C74" s="89" t="s">
        <v>594</v>
      </c>
      <c r="D74" s="90" t="s">
        <v>82</v>
      </c>
      <c r="E74" s="91" t="s">
        <v>595</v>
      </c>
      <c r="F74" s="92" t="s">
        <v>596</v>
      </c>
      <c r="G74" s="93">
        <f t="shared" si="0"/>
        <v>500000</v>
      </c>
      <c r="H74" s="94">
        <v>500000</v>
      </c>
      <c r="I74" s="93">
        <f t="shared" si="1"/>
        <v>331196.42000000004</v>
      </c>
      <c r="J74" s="94">
        <f>141675.06+20722.95+168798.41</f>
        <v>331196.42000000004</v>
      </c>
      <c r="K74" s="93">
        <f t="shared" si="2"/>
        <v>168803.57999999996</v>
      </c>
      <c r="L74" s="95">
        <f t="shared" si="3"/>
        <v>168803.57999999996</v>
      </c>
      <c r="M74" s="96" t="s">
        <v>36</v>
      </c>
      <c r="N74" s="120">
        <f t="shared" si="4"/>
        <v>0.66239284000000009</v>
      </c>
      <c r="O74" s="120">
        <v>0.95</v>
      </c>
      <c r="P74" s="97" t="s">
        <v>32</v>
      </c>
      <c r="Q74" s="98">
        <v>1</v>
      </c>
      <c r="R74" s="99">
        <v>150</v>
      </c>
      <c r="S74" s="101" t="s">
        <v>149</v>
      </c>
      <c r="T74" s="101" t="s">
        <v>698</v>
      </c>
      <c r="U74" s="102" t="s">
        <v>699</v>
      </c>
      <c r="V74" s="140"/>
      <c r="W74" s="140"/>
    </row>
    <row r="75" spans="1:23" s="79" customFormat="1" ht="82.5" customHeight="1">
      <c r="A75" s="87" t="s">
        <v>230</v>
      </c>
      <c r="B75" s="88">
        <v>43644</v>
      </c>
      <c r="C75" s="89" t="s">
        <v>597</v>
      </c>
      <c r="D75" s="90" t="s">
        <v>82</v>
      </c>
      <c r="E75" s="91" t="s">
        <v>598</v>
      </c>
      <c r="F75" s="92" t="s">
        <v>599</v>
      </c>
      <c r="G75" s="93">
        <f t="shared" si="0"/>
        <v>1000000.01</v>
      </c>
      <c r="H75" s="94">
        <v>1000000.01</v>
      </c>
      <c r="I75" s="93">
        <f t="shared" si="1"/>
        <v>767926.01</v>
      </c>
      <c r="J75" s="94">
        <f>296556.45+471369.56</f>
        <v>767926.01</v>
      </c>
      <c r="K75" s="93">
        <f t="shared" si="2"/>
        <v>232074</v>
      </c>
      <c r="L75" s="95">
        <f t="shared" si="3"/>
        <v>232074</v>
      </c>
      <c r="M75" s="96" t="s">
        <v>36</v>
      </c>
      <c r="N75" s="120">
        <f t="shared" si="4"/>
        <v>0.76792600232073993</v>
      </c>
      <c r="O75" s="120">
        <v>1</v>
      </c>
      <c r="P75" s="97" t="s">
        <v>32</v>
      </c>
      <c r="Q75" s="98">
        <v>1</v>
      </c>
      <c r="R75" s="99">
        <v>5000</v>
      </c>
      <c r="S75" s="101" t="s">
        <v>149</v>
      </c>
      <c r="T75" s="101" t="s">
        <v>288</v>
      </c>
      <c r="U75" s="102" t="s">
        <v>807</v>
      </c>
      <c r="V75" s="140"/>
      <c r="W75" s="140"/>
    </row>
    <row r="76" spans="1:23" s="79" customFormat="1" ht="60.75" customHeight="1">
      <c r="A76" s="87" t="s">
        <v>230</v>
      </c>
      <c r="B76" s="88">
        <v>43662</v>
      </c>
      <c r="C76" s="89" t="s">
        <v>700</v>
      </c>
      <c r="D76" s="90" t="s">
        <v>82</v>
      </c>
      <c r="E76" s="91" t="s">
        <v>701</v>
      </c>
      <c r="F76" s="92" t="s">
        <v>702</v>
      </c>
      <c r="G76" s="93">
        <f t="shared" si="0"/>
        <v>230000</v>
      </c>
      <c r="H76" s="94">
        <v>230000</v>
      </c>
      <c r="I76" s="93">
        <f t="shared" si="1"/>
        <v>0</v>
      </c>
      <c r="J76" s="94">
        <v>0</v>
      </c>
      <c r="K76" s="93">
        <f t="shared" si="2"/>
        <v>230000</v>
      </c>
      <c r="L76" s="95">
        <f t="shared" si="3"/>
        <v>230000</v>
      </c>
      <c r="M76" s="96" t="s">
        <v>36</v>
      </c>
      <c r="N76" s="120">
        <f t="shared" si="4"/>
        <v>0</v>
      </c>
      <c r="O76" s="120">
        <v>1</v>
      </c>
      <c r="P76" s="131" t="s">
        <v>184</v>
      </c>
      <c r="Q76" s="98">
        <v>1</v>
      </c>
      <c r="R76" s="99">
        <v>500</v>
      </c>
      <c r="S76" s="101" t="s">
        <v>33</v>
      </c>
      <c r="T76" s="101" t="s">
        <v>33</v>
      </c>
      <c r="U76" s="102" t="s">
        <v>34</v>
      </c>
      <c r="V76" s="140"/>
      <c r="W76" s="140"/>
    </row>
    <row r="77" spans="1:23" s="79" customFormat="1" ht="71.25" customHeight="1">
      <c r="A77" s="87" t="s">
        <v>230</v>
      </c>
      <c r="B77" s="88">
        <v>43502</v>
      </c>
      <c r="C77" s="89" t="s">
        <v>157</v>
      </c>
      <c r="D77" s="90" t="s">
        <v>82</v>
      </c>
      <c r="E77" s="91" t="s">
        <v>158</v>
      </c>
      <c r="F77" s="92" t="s">
        <v>159</v>
      </c>
      <c r="G77" s="93">
        <f t="shared" si="0"/>
        <v>1570270.48</v>
      </c>
      <c r="H77" s="94">
        <v>1570270.48</v>
      </c>
      <c r="I77" s="93">
        <f t="shared" si="1"/>
        <v>910874.12000000011</v>
      </c>
      <c r="J77" s="94">
        <f>451104.13+124615.42+108639.29+226515.28</f>
        <v>910874.12000000011</v>
      </c>
      <c r="K77" s="93">
        <f t="shared" si="2"/>
        <v>659396.35999999987</v>
      </c>
      <c r="L77" s="95">
        <f t="shared" si="3"/>
        <v>659396.35999999987</v>
      </c>
      <c r="M77" s="96" t="s">
        <v>36</v>
      </c>
      <c r="N77" s="120">
        <f t="shared" si="4"/>
        <v>0.58007466331532909</v>
      </c>
      <c r="O77" s="120">
        <v>1</v>
      </c>
      <c r="P77" s="97" t="s">
        <v>32</v>
      </c>
      <c r="Q77" s="98">
        <v>1</v>
      </c>
      <c r="R77" s="99">
        <v>100000</v>
      </c>
      <c r="S77" s="101" t="s">
        <v>143</v>
      </c>
      <c r="T77" s="101" t="s">
        <v>450</v>
      </c>
      <c r="U77" s="102" t="s">
        <v>451</v>
      </c>
      <c r="V77" s="140"/>
      <c r="W77" s="140"/>
    </row>
    <row r="78" spans="1:23" s="79" customFormat="1" ht="69.75" customHeight="1">
      <c r="A78" s="87" t="s">
        <v>230</v>
      </c>
      <c r="B78" s="88">
        <v>43502</v>
      </c>
      <c r="C78" s="89" t="s">
        <v>160</v>
      </c>
      <c r="D78" s="90" t="s">
        <v>41</v>
      </c>
      <c r="E78" s="91" t="s">
        <v>161</v>
      </c>
      <c r="F78" s="92" t="s">
        <v>162</v>
      </c>
      <c r="G78" s="93">
        <f t="shared" si="0"/>
        <v>606380.92000000004</v>
      </c>
      <c r="H78" s="94">
        <v>606380.92000000004</v>
      </c>
      <c r="I78" s="93">
        <f t="shared" si="1"/>
        <v>606380.91</v>
      </c>
      <c r="J78" s="94">
        <f>606380.91</f>
        <v>606380.91</v>
      </c>
      <c r="K78" s="93">
        <f t="shared" si="2"/>
        <v>1.0000000009313226E-2</v>
      </c>
      <c r="L78" s="95">
        <f t="shared" si="3"/>
        <v>1.0000000009313226E-2</v>
      </c>
      <c r="M78" s="96" t="s">
        <v>36</v>
      </c>
      <c r="N78" s="120">
        <f t="shared" si="4"/>
        <v>0.99999998350871588</v>
      </c>
      <c r="O78" s="120">
        <v>1</v>
      </c>
      <c r="P78" s="97" t="s">
        <v>32</v>
      </c>
      <c r="Q78" s="98">
        <v>1</v>
      </c>
      <c r="R78" s="99">
        <v>10000</v>
      </c>
      <c r="S78" s="101" t="s">
        <v>143</v>
      </c>
      <c r="T78" s="101" t="s">
        <v>280</v>
      </c>
      <c r="U78" s="102" t="s">
        <v>329</v>
      </c>
      <c r="V78" s="140"/>
      <c r="W78" s="140"/>
    </row>
    <row r="79" spans="1:23" s="79" customFormat="1" ht="70.5" customHeight="1">
      <c r="A79" s="87" t="s">
        <v>230</v>
      </c>
      <c r="B79" s="88">
        <v>43587</v>
      </c>
      <c r="C79" s="89" t="s">
        <v>585</v>
      </c>
      <c r="D79" s="90" t="s">
        <v>122</v>
      </c>
      <c r="E79" s="91" t="s">
        <v>163</v>
      </c>
      <c r="F79" s="92" t="s">
        <v>164</v>
      </c>
      <c r="G79" s="93">
        <f t="shared" si="0"/>
        <v>520227.98</v>
      </c>
      <c r="H79" s="94">
        <v>520227.98</v>
      </c>
      <c r="I79" s="93">
        <f t="shared" si="1"/>
        <v>520227.98</v>
      </c>
      <c r="J79" s="94">
        <f>467273.18+52954.8</f>
        <v>520227.98</v>
      </c>
      <c r="K79" s="93">
        <f t="shared" si="2"/>
        <v>0</v>
      </c>
      <c r="L79" s="95">
        <f t="shared" si="3"/>
        <v>0</v>
      </c>
      <c r="M79" s="96" t="s">
        <v>36</v>
      </c>
      <c r="N79" s="120">
        <f t="shared" si="4"/>
        <v>1</v>
      </c>
      <c r="O79" s="120">
        <v>1</v>
      </c>
      <c r="P79" s="97" t="s">
        <v>32</v>
      </c>
      <c r="Q79" s="98">
        <v>1</v>
      </c>
      <c r="R79" s="99">
        <v>5000</v>
      </c>
      <c r="S79" s="101" t="s">
        <v>143</v>
      </c>
      <c r="T79" s="101" t="s">
        <v>165</v>
      </c>
      <c r="U79" s="102" t="s">
        <v>166</v>
      </c>
      <c r="V79" s="140"/>
      <c r="W79" s="140"/>
    </row>
    <row r="80" spans="1:23" s="79" customFormat="1" ht="61.5" customHeight="1">
      <c r="A80" s="87" t="s">
        <v>230</v>
      </c>
      <c r="B80" s="88">
        <v>43502</v>
      </c>
      <c r="C80" s="89" t="s">
        <v>167</v>
      </c>
      <c r="D80" s="90" t="s">
        <v>82</v>
      </c>
      <c r="E80" s="91" t="s">
        <v>168</v>
      </c>
      <c r="F80" s="103" t="s">
        <v>169</v>
      </c>
      <c r="G80" s="93">
        <f t="shared" si="0"/>
        <v>770600.76</v>
      </c>
      <c r="H80" s="94">
        <v>770600.76</v>
      </c>
      <c r="I80" s="93">
        <f t="shared" si="1"/>
        <v>770600.76</v>
      </c>
      <c r="J80" s="94">
        <f>229963.92+137461.15+167187.08+235988.61</f>
        <v>770600.76</v>
      </c>
      <c r="K80" s="93">
        <f t="shared" si="2"/>
        <v>0</v>
      </c>
      <c r="L80" s="95">
        <f t="shared" si="3"/>
        <v>0</v>
      </c>
      <c r="M80" s="96" t="s">
        <v>36</v>
      </c>
      <c r="N80" s="120">
        <f t="shared" si="4"/>
        <v>1</v>
      </c>
      <c r="O80" s="120">
        <v>1</v>
      </c>
      <c r="P80" s="97" t="s">
        <v>32</v>
      </c>
      <c r="Q80" s="98">
        <v>1</v>
      </c>
      <c r="R80" s="99">
        <v>500</v>
      </c>
      <c r="S80" s="101" t="s">
        <v>149</v>
      </c>
      <c r="T80" s="101" t="s">
        <v>170</v>
      </c>
      <c r="U80" s="102" t="s">
        <v>171</v>
      </c>
      <c r="V80" s="140"/>
      <c r="W80" s="140"/>
    </row>
    <row r="81" spans="1:23" s="79" customFormat="1" ht="62.25" customHeight="1">
      <c r="A81" s="87" t="s">
        <v>230</v>
      </c>
      <c r="B81" s="88">
        <v>43502</v>
      </c>
      <c r="C81" s="89" t="s">
        <v>172</v>
      </c>
      <c r="D81" s="90" t="s">
        <v>82</v>
      </c>
      <c r="E81" s="91" t="s">
        <v>173</v>
      </c>
      <c r="F81" s="103" t="s">
        <v>174</v>
      </c>
      <c r="G81" s="93">
        <f t="shared" si="0"/>
        <v>496965.34</v>
      </c>
      <c r="H81" s="94">
        <v>496965.34</v>
      </c>
      <c r="I81" s="93">
        <f t="shared" si="1"/>
        <v>494014.05</v>
      </c>
      <c r="J81" s="94">
        <f>211454.08+177813.91+104746.06</f>
        <v>494014.05</v>
      </c>
      <c r="K81" s="93">
        <f t="shared" si="2"/>
        <v>2951.2900000000373</v>
      </c>
      <c r="L81" s="95">
        <f t="shared" si="3"/>
        <v>2951.2900000000373</v>
      </c>
      <c r="M81" s="96" t="s">
        <v>36</v>
      </c>
      <c r="N81" s="120">
        <f t="shared" si="4"/>
        <v>0.99406137659419058</v>
      </c>
      <c r="O81" s="120">
        <v>1</v>
      </c>
      <c r="P81" s="97" t="s">
        <v>32</v>
      </c>
      <c r="Q81" s="98">
        <v>1</v>
      </c>
      <c r="R81" s="99">
        <v>250000</v>
      </c>
      <c r="S81" s="101" t="s">
        <v>149</v>
      </c>
      <c r="T81" s="101" t="s">
        <v>170</v>
      </c>
      <c r="U81" s="102" t="s">
        <v>175</v>
      </c>
      <c r="V81" s="140"/>
      <c r="W81" s="140"/>
    </row>
    <row r="82" spans="1:23" s="79" customFormat="1" ht="46.5" customHeight="1">
      <c r="A82" s="87" t="s">
        <v>230</v>
      </c>
      <c r="B82" s="88">
        <v>43502</v>
      </c>
      <c r="C82" s="89" t="s">
        <v>176</v>
      </c>
      <c r="D82" s="90" t="s">
        <v>82</v>
      </c>
      <c r="E82" s="91" t="s">
        <v>177</v>
      </c>
      <c r="F82" s="103" t="s">
        <v>994</v>
      </c>
      <c r="G82" s="93">
        <f t="shared" si="0"/>
        <v>310019.21000000002</v>
      </c>
      <c r="H82" s="94">
        <v>310019.21000000002</v>
      </c>
      <c r="I82" s="93">
        <f>J82</f>
        <v>0</v>
      </c>
      <c r="J82" s="94">
        <v>0</v>
      </c>
      <c r="K82" s="93">
        <f t="shared" si="2"/>
        <v>310019.21000000002</v>
      </c>
      <c r="L82" s="95">
        <f t="shared" si="3"/>
        <v>310019.21000000002</v>
      </c>
      <c r="M82" s="96" t="s">
        <v>36</v>
      </c>
      <c r="N82" s="120">
        <f t="shared" si="4"/>
        <v>0</v>
      </c>
      <c r="O82" s="120">
        <v>1</v>
      </c>
      <c r="P82" s="97" t="s">
        <v>32</v>
      </c>
      <c r="Q82" s="98">
        <v>1</v>
      </c>
      <c r="R82" s="99">
        <v>100000</v>
      </c>
      <c r="S82" s="101" t="s">
        <v>33</v>
      </c>
      <c r="T82" s="101" t="s">
        <v>33</v>
      </c>
      <c r="U82" s="102" t="s">
        <v>34</v>
      </c>
      <c r="V82" s="140"/>
      <c r="W82" s="140"/>
    </row>
    <row r="83" spans="1:23" s="79" customFormat="1" ht="59.25" customHeight="1">
      <c r="A83" s="87" t="s">
        <v>230</v>
      </c>
      <c r="B83" s="88">
        <v>43731</v>
      </c>
      <c r="C83" s="89" t="s">
        <v>989</v>
      </c>
      <c r="D83" s="90" t="s">
        <v>82</v>
      </c>
      <c r="E83" s="91" t="s">
        <v>178</v>
      </c>
      <c r="F83" s="103" t="s">
        <v>179</v>
      </c>
      <c r="G83" s="93">
        <f t="shared" si="0"/>
        <v>2000000</v>
      </c>
      <c r="H83" s="94">
        <v>2000000</v>
      </c>
      <c r="I83" s="93">
        <f t="shared" si="1"/>
        <v>2000000</v>
      </c>
      <c r="J83" s="94">
        <f>589828.62+655473.67+734082+20615.71</f>
        <v>2000000</v>
      </c>
      <c r="K83" s="93">
        <f t="shared" si="2"/>
        <v>0</v>
      </c>
      <c r="L83" s="95">
        <f t="shared" si="3"/>
        <v>0</v>
      </c>
      <c r="M83" s="96" t="s">
        <v>36</v>
      </c>
      <c r="N83" s="120">
        <f t="shared" si="4"/>
        <v>1</v>
      </c>
      <c r="O83" s="120">
        <v>1</v>
      </c>
      <c r="P83" s="97" t="s">
        <v>32</v>
      </c>
      <c r="Q83" s="98">
        <v>1</v>
      </c>
      <c r="R83" s="99">
        <v>2000</v>
      </c>
      <c r="S83" s="101" t="s">
        <v>143</v>
      </c>
      <c r="T83" s="101" t="s">
        <v>180</v>
      </c>
      <c r="U83" s="102" t="s">
        <v>181</v>
      </c>
      <c r="V83" s="140"/>
      <c r="W83" s="140"/>
    </row>
    <row r="84" spans="1:23" s="79" customFormat="1" ht="57" customHeight="1">
      <c r="A84" s="87" t="s">
        <v>230</v>
      </c>
      <c r="B84" s="88">
        <v>43644</v>
      </c>
      <c r="C84" s="89" t="s">
        <v>600</v>
      </c>
      <c r="D84" s="90" t="s">
        <v>41</v>
      </c>
      <c r="E84" s="91" t="s">
        <v>182</v>
      </c>
      <c r="F84" s="103" t="s">
        <v>183</v>
      </c>
      <c r="G84" s="93">
        <f t="shared" si="0"/>
        <v>664980.79</v>
      </c>
      <c r="H84" s="94">
        <v>664980.79</v>
      </c>
      <c r="I84" s="93">
        <f t="shared" si="1"/>
        <v>664980.79</v>
      </c>
      <c r="J84" s="94">
        <f>348588.77+289302.46+27089.56</f>
        <v>664980.79</v>
      </c>
      <c r="K84" s="93">
        <f t="shared" si="2"/>
        <v>0</v>
      </c>
      <c r="L84" s="95">
        <f t="shared" si="3"/>
        <v>0</v>
      </c>
      <c r="M84" s="96" t="s">
        <v>36</v>
      </c>
      <c r="N84" s="120">
        <f t="shared" si="4"/>
        <v>1</v>
      </c>
      <c r="O84" s="120">
        <v>1</v>
      </c>
      <c r="P84" s="97" t="s">
        <v>184</v>
      </c>
      <c r="Q84" s="98">
        <v>4</v>
      </c>
      <c r="R84" s="99">
        <v>1000</v>
      </c>
      <c r="S84" s="101" t="s">
        <v>149</v>
      </c>
      <c r="T84" s="101" t="s">
        <v>180</v>
      </c>
      <c r="U84" s="102" t="s">
        <v>330</v>
      </c>
      <c r="V84" s="140"/>
      <c r="W84" s="140"/>
    </row>
    <row r="85" spans="1:23" s="79" customFormat="1" ht="63.75" customHeight="1">
      <c r="A85" s="87" t="s">
        <v>230</v>
      </c>
      <c r="B85" s="88">
        <v>43587</v>
      </c>
      <c r="C85" s="89" t="s">
        <v>586</v>
      </c>
      <c r="D85" s="90" t="s">
        <v>41</v>
      </c>
      <c r="E85" s="91" t="s">
        <v>185</v>
      </c>
      <c r="F85" s="103" t="s">
        <v>186</v>
      </c>
      <c r="G85" s="93">
        <f t="shared" si="0"/>
        <v>428277.63</v>
      </c>
      <c r="H85" s="94">
        <v>428277.63</v>
      </c>
      <c r="I85" s="93">
        <f t="shared" si="1"/>
        <v>428277.63</v>
      </c>
      <c r="J85" s="94">
        <f>412075.23+16202.4</f>
        <v>428277.63</v>
      </c>
      <c r="K85" s="93">
        <f t="shared" si="2"/>
        <v>0</v>
      </c>
      <c r="L85" s="95">
        <f t="shared" si="3"/>
        <v>0</v>
      </c>
      <c r="M85" s="96" t="s">
        <v>36</v>
      </c>
      <c r="N85" s="120">
        <f t="shared" si="4"/>
        <v>1</v>
      </c>
      <c r="O85" s="120">
        <v>1</v>
      </c>
      <c r="P85" s="97" t="s">
        <v>184</v>
      </c>
      <c r="Q85" s="98">
        <v>5</v>
      </c>
      <c r="R85" s="99">
        <v>1250</v>
      </c>
      <c r="S85" s="101" t="s">
        <v>149</v>
      </c>
      <c r="T85" s="101" t="s">
        <v>187</v>
      </c>
      <c r="U85" s="102" t="s">
        <v>188</v>
      </c>
      <c r="V85" s="140"/>
      <c r="W85" s="140"/>
    </row>
    <row r="86" spans="1:23" s="79" customFormat="1" ht="69" customHeight="1">
      <c r="A86" s="87" t="s">
        <v>230</v>
      </c>
      <c r="B86" s="88">
        <v>43668</v>
      </c>
      <c r="C86" s="89" t="s">
        <v>703</v>
      </c>
      <c r="D86" s="90" t="s">
        <v>41</v>
      </c>
      <c r="E86" s="91" t="s">
        <v>189</v>
      </c>
      <c r="F86" s="103" t="s">
        <v>190</v>
      </c>
      <c r="G86" s="93">
        <f t="shared" si="0"/>
        <v>872979.97</v>
      </c>
      <c r="H86" s="94">
        <v>872979.97</v>
      </c>
      <c r="I86" s="93">
        <f t="shared" si="1"/>
        <v>872979.97</v>
      </c>
      <c r="J86" s="94">
        <f>354661.68+492477.54+25840.75</f>
        <v>872979.97</v>
      </c>
      <c r="K86" s="93">
        <f t="shared" si="2"/>
        <v>0</v>
      </c>
      <c r="L86" s="95">
        <f t="shared" si="3"/>
        <v>0</v>
      </c>
      <c r="M86" s="96" t="s">
        <v>36</v>
      </c>
      <c r="N86" s="120">
        <f t="shared" si="4"/>
        <v>1</v>
      </c>
      <c r="O86" s="120">
        <v>1</v>
      </c>
      <c r="P86" s="97" t="s">
        <v>184</v>
      </c>
      <c r="Q86" s="98">
        <v>3</v>
      </c>
      <c r="R86" s="99">
        <v>750</v>
      </c>
      <c r="S86" s="101" t="s">
        <v>149</v>
      </c>
      <c r="T86" s="101" t="s">
        <v>191</v>
      </c>
      <c r="U86" s="102" t="s">
        <v>192</v>
      </c>
      <c r="V86" s="140"/>
      <c r="W86" s="140"/>
    </row>
    <row r="87" spans="1:23" s="79" customFormat="1" ht="84" customHeight="1">
      <c r="A87" s="87" t="s">
        <v>230</v>
      </c>
      <c r="B87" s="88">
        <v>43502</v>
      </c>
      <c r="C87" s="89" t="s">
        <v>193</v>
      </c>
      <c r="D87" s="90" t="s">
        <v>122</v>
      </c>
      <c r="E87" s="91" t="s">
        <v>194</v>
      </c>
      <c r="F87" s="103" t="s">
        <v>195</v>
      </c>
      <c r="G87" s="93">
        <f t="shared" si="0"/>
        <v>1120000</v>
      </c>
      <c r="H87" s="94">
        <v>1120000</v>
      </c>
      <c r="I87" s="93">
        <f t="shared" si="1"/>
        <v>1117579.5799999998</v>
      </c>
      <c r="J87" s="94">
        <f>1116420.42+1159.16</f>
        <v>1117579.5799999998</v>
      </c>
      <c r="K87" s="93">
        <f t="shared" si="2"/>
        <v>2420.4200000001583</v>
      </c>
      <c r="L87" s="95">
        <f t="shared" si="3"/>
        <v>2420.4200000001583</v>
      </c>
      <c r="M87" s="96" t="s">
        <v>36</v>
      </c>
      <c r="N87" s="120">
        <v>0.99</v>
      </c>
      <c r="O87" s="120">
        <v>1</v>
      </c>
      <c r="P87" s="97" t="s">
        <v>32</v>
      </c>
      <c r="Q87" s="98">
        <v>1</v>
      </c>
      <c r="R87" s="99">
        <v>2500</v>
      </c>
      <c r="S87" s="101" t="s">
        <v>149</v>
      </c>
      <c r="T87" s="101" t="s">
        <v>196</v>
      </c>
      <c r="U87" s="102" t="s">
        <v>197</v>
      </c>
      <c r="V87" s="140"/>
      <c r="W87" s="140"/>
    </row>
    <row r="88" spans="1:23" s="79" customFormat="1" ht="46.5" customHeight="1">
      <c r="A88" s="87" t="s">
        <v>230</v>
      </c>
      <c r="B88" s="88">
        <v>43587</v>
      </c>
      <c r="C88" s="89" t="s">
        <v>587</v>
      </c>
      <c r="D88" s="90" t="s">
        <v>41</v>
      </c>
      <c r="E88" s="91" t="s">
        <v>198</v>
      </c>
      <c r="F88" s="103" t="s">
        <v>199</v>
      </c>
      <c r="G88" s="93">
        <f t="shared" si="0"/>
        <v>147337.78</v>
      </c>
      <c r="H88" s="94">
        <v>147337.78</v>
      </c>
      <c r="I88" s="93">
        <f t="shared" si="1"/>
        <v>147337.78</v>
      </c>
      <c r="J88" s="94">
        <f>134870.51+12467.27</f>
        <v>147337.78</v>
      </c>
      <c r="K88" s="93">
        <f t="shared" si="2"/>
        <v>0</v>
      </c>
      <c r="L88" s="95">
        <f t="shared" si="3"/>
        <v>0</v>
      </c>
      <c r="M88" s="96" t="s">
        <v>36</v>
      </c>
      <c r="N88" s="120">
        <f t="shared" si="4"/>
        <v>1</v>
      </c>
      <c r="O88" s="120">
        <v>1</v>
      </c>
      <c r="P88" s="97" t="s">
        <v>32</v>
      </c>
      <c r="Q88" s="98">
        <v>1</v>
      </c>
      <c r="R88" s="99">
        <v>100</v>
      </c>
      <c r="S88" s="101" t="s">
        <v>149</v>
      </c>
      <c r="T88" s="101" t="s">
        <v>202</v>
      </c>
      <c r="U88" s="102" t="s">
        <v>331</v>
      </c>
      <c r="V88" s="140"/>
      <c r="W88" s="140"/>
    </row>
    <row r="89" spans="1:23" s="79" customFormat="1" ht="64.5" customHeight="1">
      <c r="A89" s="87" t="s">
        <v>230</v>
      </c>
      <c r="B89" s="88">
        <v>43682</v>
      </c>
      <c r="C89" s="89" t="s">
        <v>808</v>
      </c>
      <c r="D89" s="90" t="s">
        <v>41</v>
      </c>
      <c r="E89" s="91" t="s">
        <v>200</v>
      </c>
      <c r="F89" s="103" t="s">
        <v>201</v>
      </c>
      <c r="G89" s="93">
        <f t="shared" si="0"/>
        <v>348277.4</v>
      </c>
      <c r="H89" s="94">
        <v>348277.4</v>
      </c>
      <c r="I89" s="93">
        <f t="shared" si="1"/>
        <v>348277.4</v>
      </c>
      <c r="J89" s="94">
        <f>162058.39+172337.57+13881.44</f>
        <v>348277.4</v>
      </c>
      <c r="K89" s="93">
        <f t="shared" si="2"/>
        <v>0</v>
      </c>
      <c r="L89" s="95">
        <f t="shared" si="3"/>
        <v>0</v>
      </c>
      <c r="M89" s="96" t="s">
        <v>36</v>
      </c>
      <c r="N89" s="120">
        <f t="shared" si="4"/>
        <v>1</v>
      </c>
      <c r="O89" s="120">
        <v>1</v>
      </c>
      <c r="P89" s="97" t="s">
        <v>32</v>
      </c>
      <c r="Q89" s="98">
        <v>1</v>
      </c>
      <c r="R89" s="99">
        <v>120</v>
      </c>
      <c r="S89" s="101" t="s">
        <v>149</v>
      </c>
      <c r="T89" s="101" t="s">
        <v>202</v>
      </c>
      <c r="U89" s="102" t="s">
        <v>203</v>
      </c>
      <c r="V89" s="140"/>
      <c r="W89" s="140"/>
    </row>
    <row r="90" spans="1:23" s="79" customFormat="1" ht="69.75" customHeight="1">
      <c r="A90" s="87" t="s">
        <v>230</v>
      </c>
      <c r="B90" s="88">
        <v>43671</v>
      </c>
      <c r="C90" s="89" t="s">
        <v>704</v>
      </c>
      <c r="D90" s="90" t="s">
        <v>122</v>
      </c>
      <c r="E90" s="91" t="s">
        <v>204</v>
      </c>
      <c r="F90" s="103" t="s">
        <v>205</v>
      </c>
      <c r="G90" s="93">
        <f t="shared" si="0"/>
        <v>535991.49</v>
      </c>
      <c r="H90" s="94">
        <v>535991.49</v>
      </c>
      <c r="I90" s="93">
        <f t="shared" si="1"/>
        <v>535991.49</v>
      </c>
      <c r="J90" s="94">
        <f>532387.92+3603.57</f>
        <v>535991.49</v>
      </c>
      <c r="K90" s="93">
        <f t="shared" si="2"/>
        <v>0</v>
      </c>
      <c r="L90" s="95">
        <f t="shared" si="3"/>
        <v>0</v>
      </c>
      <c r="M90" s="96" t="s">
        <v>36</v>
      </c>
      <c r="N90" s="120">
        <f t="shared" si="4"/>
        <v>1</v>
      </c>
      <c r="O90" s="120">
        <v>1</v>
      </c>
      <c r="P90" s="97" t="s">
        <v>32</v>
      </c>
      <c r="Q90" s="98">
        <v>1</v>
      </c>
      <c r="R90" s="99">
        <v>1393</v>
      </c>
      <c r="S90" s="101" t="s">
        <v>149</v>
      </c>
      <c r="T90" s="101" t="s">
        <v>206</v>
      </c>
      <c r="U90" s="102" t="s">
        <v>207</v>
      </c>
      <c r="V90" s="140"/>
      <c r="W90" s="140"/>
    </row>
    <row r="91" spans="1:23" s="79" customFormat="1" ht="46.5" customHeight="1">
      <c r="A91" s="87" t="s">
        <v>230</v>
      </c>
      <c r="B91" s="88">
        <v>43668</v>
      </c>
      <c r="C91" s="89" t="s">
        <v>705</v>
      </c>
      <c r="D91" s="90" t="s">
        <v>41</v>
      </c>
      <c r="E91" s="91" t="s">
        <v>208</v>
      </c>
      <c r="F91" s="103" t="s">
        <v>209</v>
      </c>
      <c r="G91" s="93">
        <f t="shared" si="0"/>
        <v>544596.94999999995</v>
      </c>
      <c r="H91" s="94">
        <v>544596.94999999995</v>
      </c>
      <c r="I91" s="93">
        <f t="shared" si="1"/>
        <v>544596.94999999995</v>
      </c>
      <c r="J91" s="94">
        <f>515953.41+28643.54</f>
        <v>544596.94999999995</v>
      </c>
      <c r="K91" s="93">
        <f t="shared" si="2"/>
        <v>0</v>
      </c>
      <c r="L91" s="95">
        <f t="shared" si="3"/>
        <v>0</v>
      </c>
      <c r="M91" s="96" t="s">
        <v>36</v>
      </c>
      <c r="N91" s="120">
        <f t="shared" si="4"/>
        <v>1</v>
      </c>
      <c r="O91" s="120">
        <v>1</v>
      </c>
      <c r="P91" s="97" t="s">
        <v>32</v>
      </c>
      <c r="Q91" s="98">
        <v>1</v>
      </c>
      <c r="R91" s="99">
        <v>150</v>
      </c>
      <c r="S91" s="101" t="s">
        <v>149</v>
      </c>
      <c r="T91" s="101" t="s">
        <v>407</v>
      </c>
      <c r="U91" s="102" t="s">
        <v>706</v>
      </c>
      <c r="V91" s="140"/>
      <c r="W91" s="140"/>
    </row>
    <row r="92" spans="1:23" s="79" customFormat="1" ht="122.25" customHeight="1">
      <c r="A92" s="87" t="s">
        <v>230</v>
      </c>
      <c r="B92" s="88">
        <v>43577</v>
      </c>
      <c r="C92" s="89" t="s">
        <v>452</v>
      </c>
      <c r="D92" s="90" t="s">
        <v>41</v>
      </c>
      <c r="E92" s="91" t="s">
        <v>210</v>
      </c>
      <c r="F92" s="103" t="s">
        <v>211</v>
      </c>
      <c r="G92" s="93">
        <f t="shared" si="0"/>
        <v>176367.49</v>
      </c>
      <c r="H92" s="94">
        <v>176367.49</v>
      </c>
      <c r="I92" s="93">
        <f t="shared" si="1"/>
        <v>176367.49000000002</v>
      </c>
      <c r="J92" s="94">
        <f>158583.89+17783.6</f>
        <v>176367.49000000002</v>
      </c>
      <c r="K92" s="93">
        <f t="shared" si="2"/>
        <v>0</v>
      </c>
      <c r="L92" s="95">
        <f t="shared" si="3"/>
        <v>0</v>
      </c>
      <c r="M92" s="96" t="s">
        <v>36</v>
      </c>
      <c r="N92" s="120">
        <f t="shared" si="4"/>
        <v>1.0000000000000002</v>
      </c>
      <c r="O92" s="120">
        <v>1</v>
      </c>
      <c r="P92" s="97" t="s">
        <v>32</v>
      </c>
      <c r="Q92" s="98">
        <v>1</v>
      </c>
      <c r="R92" s="99">
        <v>150</v>
      </c>
      <c r="S92" s="101" t="s">
        <v>149</v>
      </c>
      <c r="T92" s="101" t="s">
        <v>332</v>
      </c>
      <c r="U92" s="102" t="s">
        <v>333</v>
      </c>
      <c r="V92" s="140"/>
      <c r="W92" s="140"/>
    </row>
    <row r="93" spans="1:23" s="79" customFormat="1" ht="76.5" customHeight="1">
      <c r="A93" s="87" t="s">
        <v>230</v>
      </c>
      <c r="B93" s="88">
        <v>43502</v>
      </c>
      <c r="C93" s="89" t="s">
        <v>212</v>
      </c>
      <c r="D93" s="90" t="s">
        <v>41</v>
      </c>
      <c r="E93" s="91" t="s">
        <v>213</v>
      </c>
      <c r="F93" s="103" t="s">
        <v>214</v>
      </c>
      <c r="G93" s="93">
        <f t="shared" si="0"/>
        <v>1250000</v>
      </c>
      <c r="H93" s="94">
        <v>1250000</v>
      </c>
      <c r="I93" s="93">
        <f t="shared" si="1"/>
        <v>1249992.1900000002</v>
      </c>
      <c r="J93" s="94">
        <f>428797.57+329839.03+329433.34+161922.25</f>
        <v>1249992.1900000002</v>
      </c>
      <c r="K93" s="93">
        <f t="shared" si="2"/>
        <v>7.8099999998230487</v>
      </c>
      <c r="L93" s="95">
        <f t="shared" si="3"/>
        <v>7.8099999998230487</v>
      </c>
      <c r="M93" s="96" t="s">
        <v>36</v>
      </c>
      <c r="N93" s="120">
        <f t="shared" si="4"/>
        <v>0.99999375200000018</v>
      </c>
      <c r="O93" s="120">
        <v>1</v>
      </c>
      <c r="P93" s="97" t="s">
        <v>32</v>
      </c>
      <c r="Q93" s="98">
        <v>1</v>
      </c>
      <c r="R93" s="99">
        <v>2000</v>
      </c>
      <c r="S93" s="101" t="s">
        <v>149</v>
      </c>
      <c r="T93" s="101" t="s">
        <v>206</v>
      </c>
      <c r="U93" s="102" t="s">
        <v>215</v>
      </c>
      <c r="V93" s="140"/>
      <c r="W93" s="140"/>
    </row>
    <row r="94" spans="1:23" s="79" customFormat="1" ht="69" customHeight="1">
      <c r="A94" s="87" t="s">
        <v>230</v>
      </c>
      <c r="B94" s="88">
        <v>43502</v>
      </c>
      <c r="C94" s="89" t="s">
        <v>216</v>
      </c>
      <c r="D94" s="90" t="s">
        <v>41</v>
      </c>
      <c r="E94" s="91" t="s">
        <v>217</v>
      </c>
      <c r="F94" s="103" t="s">
        <v>218</v>
      </c>
      <c r="G94" s="93">
        <f t="shared" si="0"/>
        <v>1250000</v>
      </c>
      <c r="H94" s="94">
        <v>1250000</v>
      </c>
      <c r="I94" s="93">
        <f t="shared" si="1"/>
        <v>1216806.3799999999</v>
      </c>
      <c r="J94" s="94">
        <f>374310.91+273472.08+569023.39</f>
        <v>1216806.3799999999</v>
      </c>
      <c r="K94" s="93">
        <f t="shared" si="2"/>
        <v>33193.620000000112</v>
      </c>
      <c r="L94" s="95">
        <f t="shared" si="3"/>
        <v>33193.620000000112</v>
      </c>
      <c r="M94" s="96" t="s">
        <v>36</v>
      </c>
      <c r="N94" s="120">
        <f>I94/G94</f>
        <v>0.97344510399999995</v>
      </c>
      <c r="O94" s="120">
        <v>1</v>
      </c>
      <c r="P94" s="97" t="s">
        <v>32</v>
      </c>
      <c r="Q94" s="98">
        <v>1</v>
      </c>
      <c r="R94" s="99">
        <v>2000</v>
      </c>
      <c r="S94" s="101" t="s">
        <v>149</v>
      </c>
      <c r="T94" s="101" t="s">
        <v>219</v>
      </c>
      <c r="U94" s="102" t="s">
        <v>220</v>
      </c>
      <c r="V94" s="140"/>
      <c r="W94" s="140"/>
    </row>
    <row r="95" spans="1:23" s="79" customFormat="1" ht="84.75" customHeight="1">
      <c r="A95" s="87" t="s">
        <v>230</v>
      </c>
      <c r="B95" s="88">
        <v>43502</v>
      </c>
      <c r="C95" s="89" t="s">
        <v>221</v>
      </c>
      <c r="D95" s="90" t="s">
        <v>41</v>
      </c>
      <c r="E95" s="91" t="s">
        <v>222</v>
      </c>
      <c r="F95" s="103" t="s">
        <v>223</v>
      </c>
      <c r="G95" s="93">
        <f t="shared" si="0"/>
        <v>1250000</v>
      </c>
      <c r="H95" s="94">
        <v>1250000</v>
      </c>
      <c r="I95" s="93">
        <f t="shared" si="1"/>
        <v>1247306.0399999998</v>
      </c>
      <c r="J95" s="94">
        <f>1246323.9+982.14</f>
        <v>1247306.0399999998</v>
      </c>
      <c r="K95" s="93">
        <f t="shared" si="2"/>
        <v>2693.9600000001956</v>
      </c>
      <c r="L95" s="95">
        <f t="shared" si="3"/>
        <v>2693.9600000001956</v>
      </c>
      <c r="M95" s="96" t="s">
        <v>36</v>
      </c>
      <c r="N95" s="120">
        <v>0.99</v>
      </c>
      <c r="O95" s="120">
        <v>1</v>
      </c>
      <c r="P95" s="97" t="s">
        <v>32</v>
      </c>
      <c r="Q95" s="98">
        <v>1</v>
      </c>
      <c r="R95" s="99">
        <v>2000</v>
      </c>
      <c r="S95" s="101" t="s">
        <v>149</v>
      </c>
      <c r="T95" s="101" t="s">
        <v>196</v>
      </c>
      <c r="U95" s="102" t="s">
        <v>224</v>
      </c>
      <c r="V95" s="140"/>
      <c r="W95" s="140"/>
    </row>
    <row r="96" spans="1:23" s="119" customFormat="1" ht="46.5" customHeight="1">
      <c r="A96" s="87" t="s">
        <v>230</v>
      </c>
      <c r="B96" s="88">
        <v>43502</v>
      </c>
      <c r="C96" s="89" t="s">
        <v>225</v>
      </c>
      <c r="D96" s="90" t="s">
        <v>41</v>
      </c>
      <c r="E96" s="91" t="s">
        <v>226</v>
      </c>
      <c r="F96" s="103" t="s">
        <v>227</v>
      </c>
      <c r="G96" s="93">
        <f t="shared" si="0"/>
        <v>1250000</v>
      </c>
      <c r="H96" s="94">
        <v>1250000</v>
      </c>
      <c r="I96" s="93">
        <f t="shared" si="1"/>
        <v>1249926.4400000002</v>
      </c>
      <c r="J96" s="94">
        <f>666220.51+545057.29+29631.53+9017.11</f>
        <v>1249926.4400000002</v>
      </c>
      <c r="K96" s="93">
        <f t="shared" si="2"/>
        <v>73.559999999823049</v>
      </c>
      <c r="L96" s="95">
        <f t="shared" si="3"/>
        <v>73.559999999823049</v>
      </c>
      <c r="M96" s="96" t="s">
        <v>36</v>
      </c>
      <c r="N96" s="120">
        <f t="shared" si="4"/>
        <v>0.99994115200000011</v>
      </c>
      <c r="O96" s="120">
        <v>1</v>
      </c>
      <c r="P96" s="97" t="s">
        <v>32</v>
      </c>
      <c r="Q96" s="98">
        <v>1</v>
      </c>
      <c r="R96" s="99">
        <v>2000</v>
      </c>
      <c r="S96" s="101" t="s">
        <v>149</v>
      </c>
      <c r="T96" s="101" t="s">
        <v>228</v>
      </c>
      <c r="U96" s="270" t="s">
        <v>229</v>
      </c>
      <c r="V96" s="141"/>
      <c r="W96" s="141"/>
    </row>
    <row r="97" spans="1:22" s="79" customFormat="1" ht="15.75" thickBot="1">
      <c r="A97" s="335"/>
      <c r="B97" s="336"/>
      <c r="C97" s="337"/>
      <c r="D97" s="338"/>
      <c r="E97" s="339"/>
      <c r="F97" s="340"/>
      <c r="G97" s="341"/>
      <c r="H97" s="342"/>
      <c r="I97" s="341"/>
      <c r="J97" s="342"/>
      <c r="K97" s="341"/>
      <c r="L97" s="343"/>
      <c r="M97" s="344"/>
      <c r="N97" s="345"/>
      <c r="O97" s="345"/>
      <c r="P97" s="346"/>
      <c r="Q97" s="347"/>
      <c r="R97" s="348"/>
      <c r="S97" s="349"/>
      <c r="T97" s="349"/>
      <c r="U97" s="350"/>
      <c r="V97" s="86"/>
    </row>
    <row r="98" spans="1:22" s="79" customFormat="1" ht="15.75" thickBot="1">
      <c r="A98" s="104"/>
      <c r="B98" s="104"/>
      <c r="C98" s="104"/>
      <c r="D98" s="104"/>
      <c r="E98" s="105"/>
      <c r="F98" s="104"/>
      <c r="G98" s="351"/>
      <c r="H98" s="351"/>
      <c r="I98" s="351"/>
      <c r="J98" s="351"/>
      <c r="K98" s="351"/>
      <c r="L98" s="352"/>
      <c r="M98" s="353"/>
      <c r="N98" s="375"/>
      <c r="O98" s="104"/>
      <c r="P98" s="354"/>
      <c r="Q98" s="354"/>
      <c r="R98" s="354"/>
      <c r="S98" s="106"/>
      <c r="T98" s="86"/>
      <c r="U98" s="86"/>
      <c r="V98" s="86"/>
    </row>
    <row r="99" spans="1:22" s="79" customFormat="1" ht="16.5" thickTop="1" thickBot="1">
      <c r="A99" s="104"/>
      <c r="B99" s="104"/>
      <c r="C99" s="104"/>
      <c r="D99" s="104"/>
      <c r="E99" s="105"/>
      <c r="F99" s="107" t="s">
        <v>37</v>
      </c>
      <c r="G99" s="108">
        <f t="shared" ref="G99:L99" si="5">SUBTOTAL(9,G11:G97)</f>
        <v>157401622.54999995</v>
      </c>
      <c r="H99" s="108">
        <f t="shared" si="5"/>
        <v>157401622.54999995</v>
      </c>
      <c r="I99" s="108">
        <f t="shared" si="5"/>
        <v>137919278.41</v>
      </c>
      <c r="J99" s="108">
        <f t="shared" si="5"/>
        <v>137919278.41</v>
      </c>
      <c r="K99" s="109">
        <f t="shared" si="5"/>
        <v>19482344.139999997</v>
      </c>
      <c r="L99" s="110">
        <f t="shared" si="5"/>
        <v>19482344.139999997</v>
      </c>
      <c r="M99" s="111"/>
      <c r="N99" s="106"/>
      <c r="O99" s="86"/>
      <c r="P99" s="112"/>
      <c r="Q99" s="113"/>
      <c r="R99" s="113"/>
      <c r="S99" s="106"/>
      <c r="T99" s="86"/>
      <c r="U99" s="86"/>
    </row>
    <row r="100" spans="1:22" s="402" customFormat="1" ht="15.75" thickTop="1">
      <c r="A100" s="105"/>
      <c r="B100" s="105"/>
      <c r="C100" s="105"/>
      <c r="D100" s="105"/>
      <c r="E100" s="105"/>
      <c r="F100" s="397"/>
      <c r="G100" s="228"/>
      <c r="H100" s="228"/>
      <c r="I100" s="228"/>
      <c r="J100" s="228"/>
      <c r="K100" s="228"/>
      <c r="L100" s="398"/>
      <c r="M100" s="399"/>
      <c r="N100" s="400"/>
      <c r="O100" s="114"/>
      <c r="P100" s="401"/>
      <c r="Q100" s="113"/>
      <c r="R100" s="113"/>
      <c r="S100" s="400"/>
      <c r="T100" s="114"/>
      <c r="U100" s="114"/>
    </row>
    <row r="101" spans="1:22">
      <c r="A101" s="117" t="s">
        <v>38</v>
      </c>
      <c r="B101" s="79"/>
      <c r="C101" s="79"/>
      <c r="D101" s="79"/>
      <c r="E101" s="79"/>
      <c r="F101" s="118"/>
      <c r="G101" s="79"/>
      <c r="H101" s="79"/>
      <c r="I101" s="79"/>
      <c r="J101" s="79"/>
      <c r="K101" s="79"/>
      <c r="L101" s="79"/>
      <c r="M101" s="79"/>
      <c r="N101" s="376"/>
      <c r="O101" s="79"/>
      <c r="P101" s="79"/>
      <c r="Q101" s="79"/>
      <c r="R101" s="79"/>
      <c r="S101" s="79"/>
      <c r="T101" s="79"/>
      <c r="U101" s="79"/>
    </row>
    <row r="102" spans="1:22">
      <c r="O102"/>
    </row>
    <row r="103" spans="1:22">
      <c r="O103"/>
    </row>
    <row r="104" spans="1:22">
      <c r="G104" s="2"/>
      <c r="O104"/>
    </row>
    <row r="105" spans="1:22">
      <c r="G105" s="2"/>
      <c r="O105"/>
    </row>
    <row r="106" spans="1:22">
      <c r="G106" s="2"/>
      <c r="O106"/>
    </row>
  </sheetData>
  <mergeCells count="11">
    <mergeCell ref="A7:B7"/>
    <mergeCell ref="A2:B3"/>
    <mergeCell ref="A5:B5"/>
    <mergeCell ref="A6:B6"/>
    <mergeCell ref="C2:U2"/>
    <mergeCell ref="C3:U3"/>
    <mergeCell ref="A8:B8"/>
    <mergeCell ref="G9:H9"/>
    <mergeCell ref="I9:J9"/>
    <mergeCell ref="K9:L9"/>
    <mergeCell ref="P10:Q10"/>
  </mergeCells>
  <printOptions horizontalCentered="1"/>
  <pageMargins left="0" right="0" top="0.39370078740157483" bottom="0.35433070866141736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workbookViewId="0">
      <selection activeCell="Q9" sqref="Q9"/>
    </sheetView>
  </sheetViews>
  <sheetFormatPr baseColWidth="10" defaultRowHeight="15"/>
  <cols>
    <col min="1" max="1" width="9.5703125" customWidth="1"/>
    <col min="2" max="2" width="13" customWidth="1"/>
    <col min="3" max="3" width="19.5703125" customWidth="1"/>
    <col min="4" max="4" width="9.140625" hidden="1" customWidth="1"/>
    <col min="5" max="5" width="7.28515625" customWidth="1"/>
    <col min="6" max="6" width="24.5703125" customWidth="1"/>
    <col min="7" max="7" width="12.42578125" bestFit="1" customWidth="1"/>
    <col min="8" max="8" width="10.7109375" hidden="1" customWidth="1"/>
    <col min="9" max="9" width="12.42578125" hidden="1" customWidth="1"/>
    <col min="10" max="10" width="14.7109375" hidden="1" customWidth="1"/>
    <col min="11" max="12" width="12.42578125" hidden="1" customWidth="1"/>
    <col min="13" max="13" width="8.42578125" hidden="1" customWidth="1"/>
    <col min="14" max="14" width="11.28515625" hidden="1" customWidth="1"/>
    <col min="15" max="15" width="6.140625" hidden="1" customWidth="1"/>
    <col min="16" max="16" width="14" customWidth="1"/>
    <col min="17" max="17" width="13.28515625" customWidth="1"/>
    <col min="18" max="18" width="8.42578125" hidden="1" customWidth="1"/>
    <col min="19" max="19" width="8.7109375" hidden="1" customWidth="1"/>
    <col min="20" max="20" width="10" hidden="1" customWidth="1"/>
    <col min="21" max="21" width="11.42578125" hidden="1" customWidth="1"/>
    <col min="22" max="22" width="0" hidden="1" customWidth="1"/>
    <col min="23" max="23" width="12.140625" customWidth="1"/>
    <col min="24" max="24" width="10" bestFit="1" customWidth="1"/>
    <col min="25" max="25" width="15.140625" bestFit="1" customWidth="1"/>
    <col min="26" max="27" width="11.5703125" bestFit="1" customWidth="1"/>
    <col min="28" max="28" width="9.140625" customWidth="1"/>
    <col min="29" max="29" width="15.140625" customWidth="1"/>
    <col min="30" max="30" width="13.28515625" customWidth="1"/>
    <col min="197" max="197" width="28.85546875" customWidth="1"/>
    <col min="199" max="200" width="0" hidden="1" customWidth="1"/>
    <col min="202" max="203" width="0" hidden="1" customWidth="1"/>
    <col min="205" max="206" width="0" hidden="1" customWidth="1"/>
    <col min="453" max="453" width="28.85546875" customWidth="1"/>
    <col min="455" max="456" width="0" hidden="1" customWidth="1"/>
    <col min="458" max="459" width="0" hidden="1" customWidth="1"/>
    <col min="461" max="462" width="0" hidden="1" customWidth="1"/>
    <col min="709" max="709" width="28.85546875" customWidth="1"/>
    <col min="711" max="712" width="0" hidden="1" customWidth="1"/>
    <col min="714" max="715" width="0" hidden="1" customWidth="1"/>
    <col min="717" max="718" width="0" hidden="1" customWidth="1"/>
    <col min="965" max="965" width="28.85546875" customWidth="1"/>
    <col min="967" max="968" width="0" hidden="1" customWidth="1"/>
    <col min="970" max="971" width="0" hidden="1" customWidth="1"/>
    <col min="973" max="974" width="0" hidden="1" customWidth="1"/>
    <col min="1221" max="1221" width="28.85546875" customWidth="1"/>
    <col min="1223" max="1224" width="0" hidden="1" customWidth="1"/>
    <col min="1226" max="1227" width="0" hidden="1" customWidth="1"/>
    <col min="1229" max="1230" width="0" hidden="1" customWidth="1"/>
    <col min="1477" max="1477" width="28.85546875" customWidth="1"/>
    <col min="1479" max="1480" width="0" hidden="1" customWidth="1"/>
    <col min="1482" max="1483" width="0" hidden="1" customWidth="1"/>
    <col min="1485" max="1486" width="0" hidden="1" customWidth="1"/>
    <col min="1733" max="1733" width="28.85546875" customWidth="1"/>
    <col min="1735" max="1736" width="0" hidden="1" customWidth="1"/>
    <col min="1738" max="1739" width="0" hidden="1" customWidth="1"/>
    <col min="1741" max="1742" width="0" hidden="1" customWidth="1"/>
    <col min="1989" max="1989" width="28.85546875" customWidth="1"/>
    <col min="1991" max="1992" width="0" hidden="1" customWidth="1"/>
    <col min="1994" max="1995" width="0" hidden="1" customWidth="1"/>
    <col min="1997" max="1998" width="0" hidden="1" customWidth="1"/>
    <col min="2245" max="2245" width="28.85546875" customWidth="1"/>
    <col min="2247" max="2248" width="0" hidden="1" customWidth="1"/>
    <col min="2250" max="2251" width="0" hidden="1" customWidth="1"/>
    <col min="2253" max="2254" width="0" hidden="1" customWidth="1"/>
    <col min="2501" max="2501" width="28.85546875" customWidth="1"/>
    <col min="2503" max="2504" width="0" hidden="1" customWidth="1"/>
    <col min="2506" max="2507" width="0" hidden="1" customWidth="1"/>
    <col min="2509" max="2510" width="0" hidden="1" customWidth="1"/>
    <col min="2757" max="2757" width="28.85546875" customWidth="1"/>
    <col min="2759" max="2760" width="0" hidden="1" customWidth="1"/>
    <col min="2762" max="2763" width="0" hidden="1" customWidth="1"/>
    <col min="2765" max="2766" width="0" hidden="1" customWidth="1"/>
    <col min="3013" max="3013" width="28.85546875" customWidth="1"/>
    <col min="3015" max="3016" width="0" hidden="1" customWidth="1"/>
    <col min="3018" max="3019" width="0" hidden="1" customWidth="1"/>
    <col min="3021" max="3022" width="0" hidden="1" customWidth="1"/>
    <col min="3269" max="3269" width="28.85546875" customWidth="1"/>
    <col min="3271" max="3272" width="0" hidden="1" customWidth="1"/>
    <col min="3274" max="3275" width="0" hidden="1" customWidth="1"/>
    <col min="3277" max="3278" width="0" hidden="1" customWidth="1"/>
    <col min="3525" max="3525" width="28.85546875" customWidth="1"/>
    <col min="3527" max="3528" width="0" hidden="1" customWidth="1"/>
    <col min="3530" max="3531" width="0" hidden="1" customWidth="1"/>
    <col min="3533" max="3534" width="0" hidden="1" customWidth="1"/>
    <col min="3781" max="3781" width="28.85546875" customWidth="1"/>
    <col min="3783" max="3784" width="0" hidden="1" customWidth="1"/>
    <col min="3786" max="3787" width="0" hidden="1" customWidth="1"/>
    <col min="3789" max="3790" width="0" hidden="1" customWidth="1"/>
    <col min="4037" max="4037" width="28.85546875" customWidth="1"/>
    <col min="4039" max="4040" width="0" hidden="1" customWidth="1"/>
    <col min="4042" max="4043" width="0" hidden="1" customWidth="1"/>
    <col min="4045" max="4046" width="0" hidden="1" customWidth="1"/>
    <col min="4293" max="4293" width="28.85546875" customWidth="1"/>
    <col min="4295" max="4296" width="0" hidden="1" customWidth="1"/>
    <col min="4298" max="4299" width="0" hidden="1" customWidth="1"/>
    <col min="4301" max="4302" width="0" hidden="1" customWidth="1"/>
    <col min="4549" max="4549" width="28.85546875" customWidth="1"/>
    <col min="4551" max="4552" width="0" hidden="1" customWidth="1"/>
    <col min="4554" max="4555" width="0" hidden="1" customWidth="1"/>
    <col min="4557" max="4558" width="0" hidden="1" customWidth="1"/>
    <col min="4805" max="4805" width="28.85546875" customWidth="1"/>
    <col min="4807" max="4808" width="0" hidden="1" customWidth="1"/>
    <col min="4810" max="4811" width="0" hidden="1" customWidth="1"/>
    <col min="4813" max="4814" width="0" hidden="1" customWidth="1"/>
    <col min="5061" max="5061" width="28.85546875" customWidth="1"/>
    <col min="5063" max="5064" width="0" hidden="1" customWidth="1"/>
    <col min="5066" max="5067" width="0" hidden="1" customWidth="1"/>
    <col min="5069" max="5070" width="0" hidden="1" customWidth="1"/>
    <col min="5317" max="5317" width="28.85546875" customWidth="1"/>
    <col min="5319" max="5320" width="0" hidden="1" customWidth="1"/>
    <col min="5322" max="5323" width="0" hidden="1" customWidth="1"/>
    <col min="5325" max="5326" width="0" hidden="1" customWidth="1"/>
    <col min="5573" max="5573" width="28.85546875" customWidth="1"/>
    <col min="5575" max="5576" width="0" hidden="1" customWidth="1"/>
    <col min="5578" max="5579" width="0" hidden="1" customWidth="1"/>
    <col min="5581" max="5582" width="0" hidden="1" customWidth="1"/>
    <col min="5829" max="5829" width="28.85546875" customWidth="1"/>
    <col min="5831" max="5832" width="0" hidden="1" customWidth="1"/>
    <col min="5834" max="5835" width="0" hidden="1" customWidth="1"/>
    <col min="5837" max="5838" width="0" hidden="1" customWidth="1"/>
    <col min="6085" max="6085" width="28.85546875" customWidth="1"/>
    <col min="6087" max="6088" width="0" hidden="1" customWidth="1"/>
    <col min="6090" max="6091" width="0" hidden="1" customWidth="1"/>
    <col min="6093" max="6094" width="0" hidden="1" customWidth="1"/>
    <col min="6341" max="6341" width="28.85546875" customWidth="1"/>
    <col min="6343" max="6344" width="0" hidden="1" customWidth="1"/>
    <col min="6346" max="6347" width="0" hidden="1" customWidth="1"/>
    <col min="6349" max="6350" width="0" hidden="1" customWidth="1"/>
    <col min="6597" max="6597" width="28.85546875" customWidth="1"/>
    <col min="6599" max="6600" width="0" hidden="1" customWidth="1"/>
    <col min="6602" max="6603" width="0" hidden="1" customWidth="1"/>
    <col min="6605" max="6606" width="0" hidden="1" customWidth="1"/>
    <col min="6853" max="6853" width="28.85546875" customWidth="1"/>
    <col min="6855" max="6856" width="0" hidden="1" customWidth="1"/>
    <col min="6858" max="6859" width="0" hidden="1" customWidth="1"/>
    <col min="6861" max="6862" width="0" hidden="1" customWidth="1"/>
    <col min="7109" max="7109" width="28.85546875" customWidth="1"/>
    <col min="7111" max="7112" width="0" hidden="1" customWidth="1"/>
    <col min="7114" max="7115" width="0" hidden="1" customWidth="1"/>
    <col min="7117" max="7118" width="0" hidden="1" customWidth="1"/>
    <col min="7365" max="7365" width="28.85546875" customWidth="1"/>
    <col min="7367" max="7368" width="0" hidden="1" customWidth="1"/>
    <col min="7370" max="7371" width="0" hidden="1" customWidth="1"/>
    <col min="7373" max="7374" width="0" hidden="1" customWidth="1"/>
    <col min="7621" max="7621" width="28.85546875" customWidth="1"/>
    <col min="7623" max="7624" width="0" hidden="1" customWidth="1"/>
    <col min="7626" max="7627" width="0" hidden="1" customWidth="1"/>
    <col min="7629" max="7630" width="0" hidden="1" customWidth="1"/>
    <col min="7877" max="7877" width="28.85546875" customWidth="1"/>
    <col min="7879" max="7880" width="0" hidden="1" customWidth="1"/>
    <col min="7882" max="7883" width="0" hidden="1" customWidth="1"/>
    <col min="7885" max="7886" width="0" hidden="1" customWidth="1"/>
    <col min="8133" max="8133" width="28.85546875" customWidth="1"/>
    <col min="8135" max="8136" width="0" hidden="1" customWidth="1"/>
    <col min="8138" max="8139" width="0" hidden="1" customWidth="1"/>
    <col min="8141" max="8142" width="0" hidden="1" customWidth="1"/>
    <col min="8389" max="8389" width="28.85546875" customWidth="1"/>
    <col min="8391" max="8392" width="0" hidden="1" customWidth="1"/>
    <col min="8394" max="8395" width="0" hidden="1" customWidth="1"/>
    <col min="8397" max="8398" width="0" hidden="1" customWidth="1"/>
    <col min="8645" max="8645" width="28.85546875" customWidth="1"/>
    <col min="8647" max="8648" width="0" hidden="1" customWidth="1"/>
    <col min="8650" max="8651" width="0" hidden="1" customWidth="1"/>
    <col min="8653" max="8654" width="0" hidden="1" customWidth="1"/>
    <col min="8901" max="8901" width="28.85546875" customWidth="1"/>
    <col min="8903" max="8904" width="0" hidden="1" customWidth="1"/>
    <col min="8906" max="8907" width="0" hidden="1" customWidth="1"/>
    <col min="8909" max="8910" width="0" hidden="1" customWidth="1"/>
    <col min="9157" max="9157" width="28.85546875" customWidth="1"/>
    <col min="9159" max="9160" width="0" hidden="1" customWidth="1"/>
    <col min="9162" max="9163" width="0" hidden="1" customWidth="1"/>
    <col min="9165" max="9166" width="0" hidden="1" customWidth="1"/>
    <col min="9413" max="9413" width="28.85546875" customWidth="1"/>
    <col min="9415" max="9416" width="0" hidden="1" customWidth="1"/>
    <col min="9418" max="9419" width="0" hidden="1" customWidth="1"/>
    <col min="9421" max="9422" width="0" hidden="1" customWidth="1"/>
    <col min="9669" max="9669" width="28.85546875" customWidth="1"/>
    <col min="9671" max="9672" width="0" hidden="1" customWidth="1"/>
    <col min="9674" max="9675" width="0" hidden="1" customWidth="1"/>
    <col min="9677" max="9678" width="0" hidden="1" customWidth="1"/>
    <col min="9925" max="9925" width="28.85546875" customWidth="1"/>
    <col min="9927" max="9928" width="0" hidden="1" customWidth="1"/>
    <col min="9930" max="9931" width="0" hidden="1" customWidth="1"/>
    <col min="9933" max="9934" width="0" hidden="1" customWidth="1"/>
    <col min="10181" max="10181" width="28.85546875" customWidth="1"/>
    <col min="10183" max="10184" width="0" hidden="1" customWidth="1"/>
    <col min="10186" max="10187" width="0" hidden="1" customWidth="1"/>
    <col min="10189" max="10190" width="0" hidden="1" customWidth="1"/>
    <col min="10437" max="10437" width="28.85546875" customWidth="1"/>
    <col min="10439" max="10440" width="0" hidden="1" customWidth="1"/>
    <col min="10442" max="10443" width="0" hidden="1" customWidth="1"/>
    <col min="10445" max="10446" width="0" hidden="1" customWidth="1"/>
    <col min="10693" max="10693" width="28.85546875" customWidth="1"/>
    <col min="10695" max="10696" width="0" hidden="1" customWidth="1"/>
    <col min="10698" max="10699" width="0" hidden="1" customWidth="1"/>
    <col min="10701" max="10702" width="0" hidden="1" customWidth="1"/>
    <col min="10949" max="10949" width="28.85546875" customWidth="1"/>
    <col min="10951" max="10952" width="0" hidden="1" customWidth="1"/>
    <col min="10954" max="10955" width="0" hidden="1" customWidth="1"/>
    <col min="10957" max="10958" width="0" hidden="1" customWidth="1"/>
    <col min="11205" max="11205" width="28.85546875" customWidth="1"/>
    <col min="11207" max="11208" width="0" hidden="1" customWidth="1"/>
    <col min="11210" max="11211" width="0" hidden="1" customWidth="1"/>
    <col min="11213" max="11214" width="0" hidden="1" customWidth="1"/>
    <col min="11461" max="11461" width="28.85546875" customWidth="1"/>
    <col min="11463" max="11464" width="0" hidden="1" customWidth="1"/>
    <col min="11466" max="11467" width="0" hidden="1" customWidth="1"/>
    <col min="11469" max="11470" width="0" hidden="1" customWidth="1"/>
    <col min="11717" max="11717" width="28.85546875" customWidth="1"/>
    <col min="11719" max="11720" width="0" hidden="1" customWidth="1"/>
    <col min="11722" max="11723" width="0" hidden="1" customWidth="1"/>
    <col min="11725" max="11726" width="0" hidden="1" customWidth="1"/>
    <col min="11973" max="11973" width="28.85546875" customWidth="1"/>
    <col min="11975" max="11976" width="0" hidden="1" customWidth="1"/>
    <col min="11978" max="11979" width="0" hidden="1" customWidth="1"/>
    <col min="11981" max="11982" width="0" hidden="1" customWidth="1"/>
    <col min="12229" max="12229" width="28.85546875" customWidth="1"/>
    <col min="12231" max="12232" width="0" hidden="1" customWidth="1"/>
    <col min="12234" max="12235" width="0" hidden="1" customWidth="1"/>
    <col min="12237" max="12238" width="0" hidden="1" customWidth="1"/>
    <col min="12485" max="12485" width="28.85546875" customWidth="1"/>
    <col min="12487" max="12488" width="0" hidden="1" customWidth="1"/>
    <col min="12490" max="12491" width="0" hidden="1" customWidth="1"/>
    <col min="12493" max="12494" width="0" hidden="1" customWidth="1"/>
    <col min="12741" max="12741" width="28.85546875" customWidth="1"/>
    <col min="12743" max="12744" width="0" hidden="1" customWidth="1"/>
    <col min="12746" max="12747" width="0" hidden="1" customWidth="1"/>
    <col min="12749" max="12750" width="0" hidden="1" customWidth="1"/>
    <col min="12997" max="12997" width="28.85546875" customWidth="1"/>
    <col min="12999" max="13000" width="0" hidden="1" customWidth="1"/>
    <col min="13002" max="13003" width="0" hidden="1" customWidth="1"/>
    <col min="13005" max="13006" width="0" hidden="1" customWidth="1"/>
    <col min="13253" max="13253" width="28.85546875" customWidth="1"/>
    <col min="13255" max="13256" width="0" hidden="1" customWidth="1"/>
    <col min="13258" max="13259" width="0" hidden="1" customWidth="1"/>
    <col min="13261" max="13262" width="0" hidden="1" customWidth="1"/>
    <col min="13509" max="13509" width="28.85546875" customWidth="1"/>
    <col min="13511" max="13512" width="0" hidden="1" customWidth="1"/>
    <col min="13514" max="13515" width="0" hidden="1" customWidth="1"/>
    <col min="13517" max="13518" width="0" hidden="1" customWidth="1"/>
    <col min="13765" max="13765" width="28.85546875" customWidth="1"/>
    <col min="13767" max="13768" width="0" hidden="1" customWidth="1"/>
    <col min="13770" max="13771" width="0" hidden="1" customWidth="1"/>
    <col min="13773" max="13774" width="0" hidden="1" customWidth="1"/>
    <col min="14021" max="14021" width="28.85546875" customWidth="1"/>
    <col min="14023" max="14024" width="0" hidden="1" customWidth="1"/>
    <col min="14026" max="14027" width="0" hidden="1" customWidth="1"/>
    <col min="14029" max="14030" width="0" hidden="1" customWidth="1"/>
    <col min="14277" max="14277" width="28.85546875" customWidth="1"/>
    <col min="14279" max="14280" width="0" hidden="1" customWidth="1"/>
    <col min="14282" max="14283" width="0" hidden="1" customWidth="1"/>
    <col min="14285" max="14286" width="0" hidden="1" customWidth="1"/>
    <col min="14533" max="14533" width="28.85546875" customWidth="1"/>
    <col min="14535" max="14536" width="0" hidden="1" customWidth="1"/>
    <col min="14538" max="14539" width="0" hidden="1" customWidth="1"/>
    <col min="14541" max="14542" width="0" hidden="1" customWidth="1"/>
    <col min="14789" max="14789" width="28.85546875" customWidth="1"/>
    <col min="14791" max="14792" width="0" hidden="1" customWidth="1"/>
    <col min="14794" max="14795" width="0" hidden="1" customWidth="1"/>
    <col min="14797" max="14798" width="0" hidden="1" customWidth="1"/>
    <col min="15045" max="15045" width="28.85546875" customWidth="1"/>
    <col min="15047" max="15048" width="0" hidden="1" customWidth="1"/>
    <col min="15050" max="15051" width="0" hidden="1" customWidth="1"/>
    <col min="15053" max="15054" width="0" hidden="1" customWidth="1"/>
    <col min="15301" max="15301" width="28.85546875" customWidth="1"/>
    <col min="15303" max="15304" width="0" hidden="1" customWidth="1"/>
    <col min="15306" max="15307" width="0" hidden="1" customWidth="1"/>
    <col min="15309" max="15310" width="0" hidden="1" customWidth="1"/>
    <col min="15557" max="15557" width="28.85546875" customWidth="1"/>
    <col min="15559" max="15560" width="0" hidden="1" customWidth="1"/>
    <col min="15562" max="15563" width="0" hidden="1" customWidth="1"/>
    <col min="15565" max="15566" width="0" hidden="1" customWidth="1"/>
    <col min="15813" max="15813" width="28.85546875" customWidth="1"/>
    <col min="15815" max="15816" width="0" hidden="1" customWidth="1"/>
    <col min="15818" max="15819" width="0" hidden="1" customWidth="1"/>
    <col min="15821" max="15822" width="0" hidden="1" customWidth="1"/>
    <col min="16061" max="16066" width="11.42578125" customWidth="1"/>
  </cols>
  <sheetData>
    <row r="1" spans="1:30">
      <c r="A1" s="11"/>
      <c r="B1" s="11"/>
    </row>
    <row r="2" spans="1:30" ht="21" customHeight="1">
      <c r="A2" s="11"/>
      <c r="B2" s="11"/>
      <c r="C2" s="465" t="s">
        <v>76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</row>
    <row r="3" spans="1:30" ht="18.75" customHeight="1">
      <c r="A3" s="11"/>
      <c r="B3" s="11"/>
      <c r="C3" s="464" t="s">
        <v>253</v>
      </c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</row>
    <row r="4" spans="1:30" ht="18.75" customHeight="1">
      <c r="A4" s="11"/>
      <c r="B4" s="11"/>
      <c r="C4" s="464" t="s">
        <v>254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</row>
    <row r="5" spans="1:30" ht="18.75" customHeight="1">
      <c r="A5" s="11"/>
      <c r="B5" s="11"/>
      <c r="C5" s="466" t="s">
        <v>262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</row>
    <row r="6" spans="1:30" s="9" customFormat="1" ht="9" customHeight="1">
      <c r="A6" s="125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30" ht="15.75" thickBot="1">
      <c r="A7" s="11"/>
    </row>
    <row r="8" spans="1:30">
      <c r="A8" s="473" t="s">
        <v>255</v>
      </c>
      <c r="B8" s="474"/>
      <c r="C8" s="132">
        <v>595426164</v>
      </c>
      <c r="D8" s="127"/>
      <c r="E8" s="71"/>
      <c r="F8" s="71"/>
    </row>
    <row r="9" spans="1:30">
      <c r="A9" s="475" t="s">
        <v>256</v>
      </c>
      <c r="B9" s="476"/>
      <c r="C9" s="133">
        <f>G28</f>
        <v>595426164</v>
      </c>
      <c r="D9" s="128"/>
      <c r="E9" s="71"/>
      <c r="F9" s="71"/>
    </row>
    <row r="10" spans="1:30">
      <c r="A10" s="475" t="s">
        <v>5</v>
      </c>
      <c r="B10" s="476"/>
      <c r="C10" s="133">
        <f>P28</f>
        <v>463605790.31000018</v>
      </c>
      <c r="D10" s="128"/>
      <c r="E10" s="71"/>
      <c r="F10" s="71"/>
      <c r="W10" s="25"/>
      <c r="Y10" s="2"/>
    </row>
    <row r="11" spans="1:30" ht="15.75" thickBot="1">
      <c r="A11" s="477" t="s">
        <v>12</v>
      </c>
      <c r="B11" s="478"/>
      <c r="C11" s="134">
        <f>C9-C10</f>
        <v>131820373.68999982</v>
      </c>
      <c r="D11" s="128"/>
      <c r="E11" s="71"/>
      <c r="F11" s="71"/>
    </row>
    <row r="12" spans="1:30" ht="15.75" thickBot="1">
      <c r="A12" s="129"/>
      <c r="B12" s="130"/>
      <c r="C12" s="130"/>
      <c r="D12" s="130"/>
      <c r="E12" s="130"/>
      <c r="S12" s="210"/>
      <c r="U12" s="210"/>
      <c r="AD12" s="272" t="s">
        <v>878</v>
      </c>
    </row>
    <row r="13" spans="1:30" s="213" customFormat="1" ht="16.5" thickTop="1" thickBot="1">
      <c r="A13" s="211"/>
      <c r="B13" s="211"/>
      <c r="C13" s="211"/>
      <c r="D13" s="211"/>
      <c r="E13" s="211"/>
      <c r="F13" s="211"/>
      <c r="G13" s="467" t="s">
        <v>13</v>
      </c>
      <c r="H13" s="468"/>
      <c r="I13" s="468"/>
      <c r="J13" s="468"/>
      <c r="K13" s="469"/>
      <c r="L13" s="467" t="s">
        <v>14</v>
      </c>
      <c r="M13" s="468"/>
      <c r="N13" s="468"/>
      <c r="O13" s="468"/>
      <c r="P13" s="469"/>
      <c r="Q13" s="470" t="s">
        <v>15</v>
      </c>
      <c r="R13" s="471"/>
      <c r="S13" s="471"/>
      <c r="T13" s="471"/>
      <c r="U13" s="472"/>
      <c r="V13" s="212"/>
      <c r="Y13" s="214"/>
      <c r="Z13" s="214"/>
      <c r="AA13" s="214"/>
      <c r="AB13" s="215"/>
    </row>
    <row r="14" spans="1:30" s="296" customFormat="1" ht="47.25" customHeight="1" thickBot="1">
      <c r="A14" s="290" t="s">
        <v>257</v>
      </c>
      <c r="B14" s="291" t="s">
        <v>17</v>
      </c>
      <c r="C14" s="291" t="s">
        <v>18</v>
      </c>
      <c r="D14" s="292" t="s">
        <v>19</v>
      </c>
      <c r="E14" s="292" t="s">
        <v>77</v>
      </c>
      <c r="F14" s="292" t="s">
        <v>21</v>
      </c>
      <c r="G14" s="292" t="s">
        <v>22</v>
      </c>
      <c r="H14" s="292" t="s">
        <v>23</v>
      </c>
      <c r="I14" s="292" t="s">
        <v>453</v>
      </c>
      <c r="J14" s="292" t="s">
        <v>454</v>
      </c>
      <c r="K14" s="292" t="s">
        <v>78</v>
      </c>
      <c r="L14" s="293" t="s">
        <v>22</v>
      </c>
      <c r="M14" s="292" t="s">
        <v>23</v>
      </c>
      <c r="N14" s="292" t="s">
        <v>453</v>
      </c>
      <c r="O14" s="292" t="s">
        <v>454</v>
      </c>
      <c r="P14" s="292" t="s">
        <v>78</v>
      </c>
      <c r="Q14" s="292" t="s">
        <v>22</v>
      </c>
      <c r="R14" s="292" t="s">
        <v>23</v>
      </c>
      <c r="S14" s="292" t="s">
        <v>453</v>
      </c>
      <c r="T14" s="292" t="s">
        <v>454</v>
      </c>
      <c r="U14" s="292" t="s">
        <v>78</v>
      </c>
      <c r="V14" s="292" t="s">
        <v>24</v>
      </c>
      <c r="W14" s="292" t="s">
        <v>25</v>
      </c>
      <c r="X14" s="292" t="s">
        <v>26</v>
      </c>
      <c r="Y14" s="292" t="s">
        <v>334</v>
      </c>
      <c r="Z14" s="292" t="s">
        <v>335</v>
      </c>
      <c r="AA14" s="292" t="s">
        <v>28</v>
      </c>
      <c r="AB14" s="292" t="s">
        <v>29</v>
      </c>
      <c r="AC14" s="292" t="s">
        <v>30</v>
      </c>
      <c r="AD14" s="294" t="s">
        <v>336</v>
      </c>
    </row>
    <row r="15" spans="1:30" s="86" customFormat="1" ht="42.75">
      <c r="A15" s="217" t="s">
        <v>128</v>
      </c>
      <c r="B15" s="218">
        <v>43497</v>
      </c>
      <c r="C15" s="219" t="s">
        <v>261</v>
      </c>
      <c r="D15" s="219" t="s">
        <v>337</v>
      </c>
      <c r="E15" s="219">
        <v>1</v>
      </c>
      <c r="F15" s="220" t="s">
        <v>258</v>
      </c>
      <c r="G15" s="93">
        <f>K15</f>
        <v>461299023.08999997</v>
      </c>
      <c r="H15" s="94">
        <v>0</v>
      </c>
      <c r="I15" s="94"/>
      <c r="J15" s="94"/>
      <c r="K15" s="94">
        <v>461299023.08999997</v>
      </c>
      <c r="L15" s="173">
        <v>315374595</v>
      </c>
      <c r="M15" s="173">
        <v>0</v>
      </c>
      <c r="N15" s="173"/>
      <c r="O15" s="305"/>
      <c r="P15" s="249">
        <v>331614630.82000017</v>
      </c>
      <c r="Q15" s="93">
        <f>G15-P15</f>
        <v>129684392.2699998</v>
      </c>
      <c r="R15" s="221">
        <f t="shared" ref="R15" si="0">H15-M15</f>
        <v>0</v>
      </c>
      <c r="S15" s="222"/>
      <c r="T15" s="222"/>
      <c r="U15" s="222">
        <f t="shared" ref="U15" si="1">G15-P15</f>
        <v>129684392.2699998</v>
      </c>
      <c r="V15" s="98" t="s">
        <v>338</v>
      </c>
      <c r="W15" s="313">
        <f>P15/G15</f>
        <v>0.71887130520825271</v>
      </c>
      <c r="X15" s="314">
        <f t="shared" ref="X15:X18" si="2">W15</f>
        <v>0.71887130520825271</v>
      </c>
      <c r="Y15" s="131" t="s">
        <v>260</v>
      </c>
      <c r="Z15" s="223">
        <v>1</v>
      </c>
      <c r="AA15" s="223">
        <v>877190</v>
      </c>
      <c r="AB15" s="223" t="s">
        <v>259</v>
      </c>
      <c r="AC15" s="223" t="s">
        <v>259</v>
      </c>
      <c r="AD15" s="223" t="s">
        <v>259</v>
      </c>
    </row>
    <row r="16" spans="1:30" s="306" customFormat="1" ht="57">
      <c r="A16" s="277" t="s">
        <v>339</v>
      </c>
      <c r="B16" s="278">
        <v>43539</v>
      </c>
      <c r="C16" s="248" t="s">
        <v>707</v>
      </c>
      <c r="D16" s="248"/>
      <c r="E16" s="248">
        <v>61</v>
      </c>
      <c r="F16" s="220" t="s">
        <v>340</v>
      </c>
      <c r="G16" s="182">
        <f t="shared" ref="G16:G26" si="3">K16</f>
        <v>2499500.02</v>
      </c>
      <c r="H16" s="249">
        <v>0</v>
      </c>
      <c r="I16" s="249"/>
      <c r="J16" s="249"/>
      <c r="K16" s="249">
        <v>2499500.02</v>
      </c>
      <c r="L16" s="173">
        <f t="shared" ref="L16:L18" si="4">P16</f>
        <v>2499500.02</v>
      </c>
      <c r="M16" s="173"/>
      <c r="N16" s="173"/>
      <c r="O16" s="305"/>
      <c r="P16" s="249">
        <v>2499500.02</v>
      </c>
      <c r="Q16" s="182">
        <f t="shared" ref="Q16:Q18" si="5">K16-P16</f>
        <v>0</v>
      </c>
      <c r="R16" s="250"/>
      <c r="S16" s="251"/>
      <c r="T16" s="251"/>
      <c r="U16" s="251"/>
      <c r="V16" s="254" t="s">
        <v>338</v>
      </c>
      <c r="W16" s="314">
        <f t="shared" ref="W16:W18" si="6">L16/G16</f>
        <v>1</v>
      </c>
      <c r="X16" s="314">
        <f t="shared" si="2"/>
        <v>1</v>
      </c>
      <c r="Y16" s="252" t="s">
        <v>341</v>
      </c>
      <c r="Z16" s="253">
        <v>4463</v>
      </c>
      <c r="AA16" s="253">
        <v>4463</v>
      </c>
      <c r="AB16" s="253" t="s">
        <v>79</v>
      </c>
      <c r="AC16" s="253" t="s">
        <v>482</v>
      </c>
      <c r="AD16" s="253" t="s">
        <v>483</v>
      </c>
    </row>
    <row r="17" spans="1:31" s="86" customFormat="1" ht="57">
      <c r="A17" s="217" t="s">
        <v>339</v>
      </c>
      <c r="B17" s="218">
        <v>43539</v>
      </c>
      <c r="C17" s="219" t="s">
        <v>708</v>
      </c>
      <c r="D17" s="219"/>
      <c r="E17" s="219">
        <v>62</v>
      </c>
      <c r="F17" s="220" t="s">
        <v>342</v>
      </c>
      <c r="G17" s="93">
        <f t="shared" si="3"/>
        <v>16940156.859999999</v>
      </c>
      <c r="H17" s="94">
        <v>0</v>
      </c>
      <c r="I17" s="94"/>
      <c r="J17" s="94"/>
      <c r="K17" s="94">
        <v>16940156.859999999</v>
      </c>
      <c r="L17" s="173">
        <f>P17</f>
        <v>16940156.859999999</v>
      </c>
      <c r="M17" s="172"/>
      <c r="N17" s="172"/>
      <c r="O17" s="307"/>
      <c r="P17" s="94">
        <f>3451713.98+13488442.88</f>
        <v>16940156.859999999</v>
      </c>
      <c r="Q17" s="93">
        <f t="shared" si="5"/>
        <v>0</v>
      </c>
      <c r="R17" s="221"/>
      <c r="S17" s="222"/>
      <c r="T17" s="222"/>
      <c r="U17" s="222"/>
      <c r="V17" s="98" t="s">
        <v>338</v>
      </c>
      <c r="W17" s="313">
        <f t="shared" si="6"/>
        <v>1</v>
      </c>
      <c r="X17" s="314">
        <f t="shared" si="2"/>
        <v>1</v>
      </c>
      <c r="Y17" s="131" t="s">
        <v>341</v>
      </c>
      <c r="Z17" s="223">
        <v>99675</v>
      </c>
      <c r="AA17" s="223">
        <v>99675</v>
      </c>
      <c r="AB17" s="223" t="s">
        <v>79</v>
      </c>
      <c r="AC17" s="223" t="s">
        <v>801</v>
      </c>
      <c r="AD17" s="223" t="s">
        <v>801</v>
      </c>
    </row>
    <row r="18" spans="1:31" s="86" customFormat="1" ht="57">
      <c r="A18" s="217" t="s">
        <v>339</v>
      </c>
      <c r="B18" s="218">
        <v>43539</v>
      </c>
      <c r="C18" s="219" t="s">
        <v>709</v>
      </c>
      <c r="D18" s="219"/>
      <c r="E18" s="219">
        <v>63</v>
      </c>
      <c r="F18" s="220" t="s">
        <v>343</v>
      </c>
      <c r="G18" s="93">
        <f t="shared" si="3"/>
        <v>13339021.52</v>
      </c>
      <c r="H18" s="94">
        <v>0</v>
      </c>
      <c r="I18" s="94"/>
      <c r="J18" s="94"/>
      <c r="K18" s="94">
        <v>13339021.52</v>
      </c>
      <c r="L18" s="173">
        <f t="shared" si="4"/>
        <v>13339021.52</v>
      </c>
      <c r="M18" s="172"/>
      <c r="N18" s="172"/>
      <c r="O18" s="307"/>
      <c r="P18" s="94">
        <f>1490623.2+4967586.99+4997846.2+281358+1601607.13</f>
        <v>13339021.52</v>
      </c>
      <c r="Q18" s="93">
        <f t="shared" si="5"/>
        <v>0</v>
      </c>
      <c r="R18" s="221"/>
      <c r="S18" s="222"/>
      <c r="T18" s="222"/>
      <c r="U18" s="222"/>
      <c r="V18" s="98" t="s">
        <v>338</v>
      </c>
      <c r="W18" s="313">
        <f t="shared" si="6"/>
        <v>1</v>
      </c>
      <c r="X18" s="314">
        <f t="shared" si="2"/>
        <v>1</v>
      </c>
      <c r="Y18" s="131" t="s">
        <v>341</v>
      </c>
      <c r="Z18" s="223">
        <v>13639</v>
      </c>
      <c r="AA18" s="223">
        <v>13639</v>
      </c>
      <c r="AB18" s="223" t="s">
        <v>79</v>
      </c>
      <c r="AC18" s="223" t="s">
        <v>457</v>
      </c>
      <c r="AD18" s="223" t="s">
        <v>458</v>
      </c>
    </row>
    <row r="19" spans="1:31" s="86" customFormat="1" ht="57">
      <c r="A19" s="217" t="s">
        <v>339</v>
      </c>
      <c r="B19" s="218">
        <v>43539</v>
      </c>
      <c r="C19" s="219" t="s">
        <v>710</v>
      </c>
      <c r="D19" s="219"/>
      <c r="E19" s="219">
        <v>64</v>
      </c>
      <c r="F19" s="220" t="s">
        <v>344</v>
      </c>
      <c r="G19" s="93">
        <f t="shared" si="3"/>
        <v>22921321.600000001</v>
      </c>
      <c r="H19" s="94">
        <v>0</v>
      </c>
      <c r="I19" s="94"/>
      <c r="J19" s="94"/>
      <c r="K19" s="94">
        <v>22921321.600000001</v>
      </c>
      <c r="L19" s="173">
        <f>P19</f>
        <v>22918683.850000001</v>
      </c>
      <c r="M19" s="172"/>
      <c r="N19" s="172"/>
      <c r="O19" s="307"/>
      <c r="P19" s="94">
        <f>22856612.75+62071.1</f>
        <v>22918683.850000001</v>
      </c>
      <c r="Q19" s="93">
        <f>K19-P19</f>
        <v>2637.75</v>
      </c>
      <c r="R19" s="221"/>
      <c r="S19" s="222"/>
      <c r="T19" s="222"/>
      <c r="U19" s="222"/>
      <c r="V19" s="98" t="s">
        <v>338</v>
      </c>
      <c r="W19" s="313">
        <f>L19/G19</f>
        <v>0.99988492155705366</v>
      </c>
      <c r="X19" s="314">
        <f>W19</f>
        <v>0.99988492155705366</v>
      </c>
      <c r="Y19" s="131" t="s">
        <v>341</v>
      </c>
      <c r="Z19" s="223">
        <v>116153</v>
      </c>
      <c r="AA19" s="223">
        <v>116153</v>
      </c>
      <c r="AB19" s="223" t="s">
        <v>79</v>
      </c>
      <c r="AC19" s="223" t="s">
        <v>459</v>
      </c>
      <c r="AD19" s="223" t="s">
        <v>460</v>
      </c>
    </row>
    <row r="20" spans="1:31" s="86" customFormat="1" ht="42.75">
      <c r="A20" s="217" t="s">
        <v>711</v>
      </c>
      <c r="B20" s="218">
        <v>43577</v>
      </c>
      <c r="C20" s="219" t="s">
        <v>455</v>
      </c>
      <c r="D20" s="219"/>
      <c r="E20" s="219">
        <v>87</v>
      </c>
      <c r="F20" s="220" t="s">
        <v>456</v>
      </c>
      <c r="G20" s="93">
        <f t="shared" si="3"/>
        <v>75427140.909999996</v>
      </c>
      <c r="H20" s="94"/>
      <c r="I20" s="94"/>
      <c r="J20" s="94"/>
      <c r="K20" s="94">
        <v>75427140.909999996</v>
      </c>
      <c r="L20" s="173">
        <f>P20</f>
        <v>75427141.319999993</v>
      </c>
      <c r="M20" s="172"/>
      <c r="N20" s="172"/>
      <c r="O20" s="307"/>
      <c r="P20" s="94">
        <f>25142380.32+50284761</f>
        <v>75427141.319999993</v>
      </c>
      <c r="Q20" s="93">
        <f>K20-P20</f>
        <v>-0.40999999642372131</v>
      </c>
      <c r="R20" s="221"/>
      <c r="S20" s="222"/>
      <c r="T20" s="222"/>
      <c r="U20" s="222"/>
      <c r="V20" s="98"/>
      <c r="W20" s="313">
        <f>L20/G20</f>
        <v>1.000000005435709</v>
      </c>
      <c r="X20" s="314">
        <f>W20</f>
        <v>1.000000005435709</v>
      </c>
      <c r="Y20" s="223" t="s">
        <v>259</v>
      </c>
      <c r="Z20" s="223" t="s">
        <v>259</v>
      </c>
      <c r="AA20" s="223" t="s">
        <v>259</v>
      </c>
      <c r="AB20" s="223" t="s">
        <v>259</v>
      </c>
      <c r="AC20" s="223" t="s">
        <v>259</v>
      </c>
      <c r="AD20" s="223" t="s">
        <v>259</v>
      </c>
    </row>
    <row r="21" spans="1:31" s="86" customFormat="1" ht="42.75">
      <c r="A21" s="217" t="s">
        <v>873</v>
      </c>
      <c r="B21" s="218">
        <v>43677</v>
      </c>
      <c r="C21" s="219" t="s">
        <v>712</v>
      </c>
      <c r="D21" s="219"/>
      <c r="E21" s="219">
        <v>161</v>
      </c>
      <c r="F21" s="220" t="s">
        <v>713</v>
      </c>
      <c r="G21" s="93">
        <f t="shared" si="3"/>
        <v>269415</v>
      </c>
      <c r="H21" s="94"/>
      <c r="I21" s="94"/>
      <c r="J21" s="94"/>
      <c r="K21" s="94">
        <v>269415</v>
      </c>
      <c r="L21" s="173">
        <f t="shared" ref="L21:L26" si="7">P21</f>
        <v>77925.62</v>
      </c>
      <c r="M21" s="172"/>
      <c r="N21" s="172"/>
      <c r="O21" s="307"/>
      <c r="P21" s="94">
        <v>77925.62</v>
      </c>
      <c r="Q21" s="93">
        <f t="shared" ref="Q21:Q26" si="8">K21-P21</f>
        <v>191489.38</v>
      </c>
      <c r="R21" s="221"/>
      <c r="S21" s="222"/>
      <c r="T21" s="222"/>
      <c r="U21" s="222"/>
      <c r="V21" s="98" t="s">
        <v>36</v>
      </c>
      <c r="W21" s="313">
        <f t="shared" ref="W21:W25" si="9">L21/G21</f>
        <v>0.2892400942783438</v>
      </c>
      <c r="X21" s="313">
        <v>0.6</v>
      </c>
      <c r="Y21" s="223" t="s">
        <v>714</v>
      </c>
      <c r="Z21" s="223">
        <v>1</v>
      </c>
      <c r="AA21" s="223">
        <v>500</v>
      </c>
      <c r="AB21" s="223" t="s">
        <v>79</v>
      </c>
      <c r="AC21" s="223" t="s">
        <v>879</v>
      </c>
      <c r="AD21" s="223" t="s">
        <v>880</v>
      </c>
    </row>
    <row r="22" spans="1:31" s="86" customFormat="1" ht="87.75" customHeight="1">
      <c r="A22" s="217" t="s">
        <v>873</v>
      </c>
      <c r="B22" s="218">
        <v>43677</v>
      </c>
      <c r="C22" s="219" t="s">
        <v>715</v>
      </c>
      <c r="D22" s="219"/>
      <c r="E22" s="219">
        <v>162</v>
      </c>
      <c r="F22" s="220" t="s">
        <v>716</v>
      </c>
      <c r="G22" s="93">
        <f t="shared" si="3"/>
        <v>127004</v>
      </c>
      <c r="H22" s="94"/>
      <c r="I22" s="94"/>
      <c r="J22" s="94"/>
      <c r="K22" s="94">
        <v>127004</v>
      </c>
      <c r="L22" s="173">
        <f t="shared" si="7"/>
        <v>37913.15</v>
      </c>
      <c r="M22" s="172"/>
      <c r="N22" s="172"/>
      <c r="O22" s="307"/>
      <c r="P22" s="94">
        <v>37913.15</v>
      </c>
      <c r="Q22" s="93">
        <f t="shared" si="8"/>
        <v>89090.85</v>
      </c>
      <c r="R22" s="221"/>
      <c r="S22" s="222"/>
      <c r="T22" s="222"/>
      <c r="U22" s="222"/>
      <c r="V22" s="98" t="s">
        <v>36</v>
      </c>
      <c r="W22" s="313">
        <f t="shared" si="9"/>
        <v>0.29851933797360714</v>
      </c>
      <c r="X22" s="313">
        <v>0.7</v>
      </c>
      <c r="Y22" s="223" t="s">
        <v>714</v>
      </c>
      <c r="Z22" s="223">
        <v>1</v>
      </c>
      <c r="AA22" s="223">
        <v>500</v>
      </c>
      <c r="AB22" s="223" t="s">
        <v>79</v>
      </c>
      <c r="AC22" s="223" t="s">
        <v>881</v>
      </c>
      <c r="AD22" s="223" t="s">
        <v>882</v>
      </c>
    </row>
    <row r="23" spans="1:31" s="86" customFormat="1" ht="42.75">
      <c r="A23" s="217" t="s">
        <v>873</v>
      </c>
      <c r="B23" s="218">
        <v>43677</v>
      </c>
      <c r="C23" s="219" t="s">
        <v>717</v>
      </c>
      <c r="D23" s="219"/>
      <c r="E23" s="219">
        <v>163</v>
      </c>
      <c r="F23" s="220" t="s">
        <v>718</v>
      </c>
      <c r="G23" s="93">
        <f t="shared" si="3"/>
        <v>200207</v>
      </c>
      <c r="H23" s="94"/>
      <c r="I23" s="94"/>
      <c r="J23" s="94"/>
      <c r="K23" s="94">
        <v>200207</v>
      </c>
      <c r="L23" s="173">
        <f t="shared" si="7"/>
        <v>57047.67</v>
      </c>
      <c r="M23" s="172"/>
      <c r="N23" s="172"/>
      <c r="O23" s="307"/>
      <c r="P23" s="94">
        <v>57047.67</v>
      </c>
      <c r="Q23" s="93">
        <f t="shared" si="8"/>
        <v>143159.33000000002</v>
      </c>
      <c r="R23" s="221"/>
      <c r="S23" s="222"/>
      <c r="T23" s="222"/>
      <c r="U23" s="222"/>
      <c r="V23" s="98" t="s">
        <v>36</v>
      </c>
      <c r="W23" s="313">
        <f t="shared" si="9"/>
        <v>0.2849434335462796</v>
      </c>
      <c r="X23" s="313">
        <v>0.65</v>
      </c>
      <c r="Y23" s="223" t="s">
        <v>714</v>
      </c>
      <c r="Z23" s="223">
        <v>1</v>
      </c>
      <c r="AA23" s="223">
        <v>500</v>
      </c>
      <c r="AB23" s="223" t="s">
        <v>79</v>
      </c>
      <c r="AC23" s="223" t="s">
        <v>879</v>
      </c>
      <c r="AD23" s="223" t="s">
        <v>883</v>
      </c>
    </row>
    <row r="24" spans="1:31" s="86" customFormat="1" ht="57">
      <c r="A24" s="217" t="s">
        <v>873</v>
      </c>
      <c r="B24" s="218">
        <v>43677</v>
      </c>
      <c r="C24" s="219" t="s">
        <v>719</v>
      </c>
      <c r="D24" s="219"/>
      <c r="E24" s="219">
        <v>164</v>
      </c>
      <c r="F24" s="220" t="s">
        <v>720</v>
      </c>
      <c r="G24" s="93">
        <f t="shared" si="3"/>
        <v>633221</v>
      </c>
      <c r="H24" s="94"/>
      <c r="I24" s="94"/>
      <c r="J24" s="94"/>
      <c r="K24" s="94">
        <v>633221</v>
      </c>
      <c r="L24" s="173">
        <f t="shared" si="7"/>
        <v>184153.84</v>
      </c>
      <c r="M24" s="172"/>
      <c r="N24" s="172"/>
      <c r="O24" s="307"/>
      <c r="P24" s="94">
        <v>184153.84</v>
      </c>
      <c r="Q24" s="93">
        <f t="shared" si="8"/>
        <v>449067.16000000003</v>
      </c>
      <c r="R24" s="221"/>
      <c r="S24" s="222"/>
      <c r="T24" s="222"/>
      <c r="U24" s="222"/>
      <c r="V24" s="98" t="s">
        <v>36</v>
      </c>
      <c r="W24" s="313">
        <f t="shared" si="9"/>
        <v>0.29082080347935396</v>
      </c>
      <c r="X24" s="313">
        <v>0.75</v>
      </c>
      <c r="Y24" s="223" t="s">
        <v>714</v>
      </c>
      <c r="Z24" s="223">
        <v>1</v>
      </c>
      <c r="AA24" s="223">
        <v>500</v>
      </c>
      <c r="AB24" s="223" t="s">
        <v>79</v>
      </c>
      <c r="AC24" s="223" t="s">
        <v>874</v>
      </c>
      <c r="AD24" s="223" t="s">
        <v>875</v>
      </c>
    </row>
    <row r="25" spans="1:31" s="86" customFormat="1" ht="57">
      <c r="A25" s="217" t="s">
        <v>873</v>
      </c>
      <c r="B25" s="218">
        <v>43677</v>
      </c>
      <c r="C25" s="219" t="s">
        <v>721</v>
      </c>
      <c r="D25" s="219"/>
      <c r="E25" s="219">
        <v>165</v>
      </c>
      <c r="F25" s="220" t="s">
        <v>722</v>
      </c>
      <c r="G25" s="93">
        <f t="shared" si="3"/>
        <v>170153</v>
      </c>
      <c r="H25" s="94"/>
      <c r="I25" s="94"/>
      <c r="J25" s="94"/>
      <c r="K25" s="94">
        <v>170153</v>
      </c>
      <c r="L25" s="173">
        <f t="shared" si="7"/>
        <v>50972.67</v>
      </c>
      <c r="M25" s="172"/>
      <c r="N25" s="172"/>
      <c r="O25" s="307"/>
      <c r="P25" s="94">
        <v>50972.67</v>
      </c>
      <c r="Q25" s="93">
        <f t="shared" si="8"/>
        <v>119180.33</v>
      </c>
      <c r="R25" s="221"/>
      <c r="S25" s="222"/>
      <c r="T25" s="222"/>
      <c r="U25" s="222"/>
      <c r="V25" s="98" t="s">
        <v>36</v>
      </c>
      <c r="W25" s="313">
        <f t="shared" si="9"/>
        <v>0.29956962263374726</v>
      </c>
      <c r="X25" s="313">
        <v>0.78</v>
      </c>
      <c r="Y25" s="223" t="s">
        <v>714</v>
      </c>
      <c r="Z25" s="223">
        <v>1</v>
      </c>
      <c r="AA25" s="223">
        <v>500</v>
      </c>
      <c r="AB25" s="223" t="s">
        <v>79</v>
      </c>
      <c r="AC25" s="223" t="s">
        <v>881</v>
      </c>
      <c r="AD25" s="223" t="s">
        <v>885</v>
      </c>
    </row>
    <row r="26" spans="1:31" s="86" customFormat="1" ht="57">
      <c r="A26" s="217" t="s">
        <v>873</v>
      </c>
      <c r="B26" s="218">
        <v>43677</v>
      </c>
      <c r="C26" s="219" t="s">
        <v>723</v>
      </c>
      <c r="D26" s="219"/>
      <c r="E26" s="219">
        <v>166</v>
      </c>
      <c r="F26" s="220" t="s">
        <v>724</v>
      </c>
      <c r="G26" s="93">
        <f t="shared" si="3"/>
        <v>1600000</v>
      </c>
      <c r="H26" s="94"/>
      <c r="I26" s="94"/>
      <c r="J26" s="94"/>
      <c r="K26" s="94">
        <v>1600000</v>
      </c>
      <c r="L26" s="173">
        <f t="shared" si="7"/>
        <v>458642.97</v>
      </c>
      <c r="M26" s="172"/>
      <c r="N26" s="172"/>
      <c r="O26" s="307"/>
      <c r="P26" s="94">
        <v>458642.97</v>
      </c>
      <c r="Q26" s="93">
        <f t="shared" si="8"/>
        <v>1141357.03</v>
      </c>
      <c r="R26" s="221"/>
      <c r="S26" s="222"/>
      <c r="T26" s="222"/>
      <c r="U26" s="222"/>
      <c r="V26" s="98" t="s">
        <v>36</v>
      </c>
      <c r="W26" s="313">
        <f>L26/G26</f>
        <v>0.28665185625</v>
      </c>
      <c r="X26" s="313">
        <v>0.3</v>
      </c>
      <c r="Y26" s="223" t="s">
        <v>714</v>
      </c>
      <c r="Z26" s="223">
        <v>1</v>
      </c>
      <c r="AA26" s="223">
        <v>500</v>
      </c>
      <c r="AB26" s="223" t="s">
        <v>79</v>
      </c>
      <c r="AC26" s="223" t="s">
        <v>874</v>
      </c>
      <c r="AD26" s="223" t="s">
        <v>884</v>
      </c>
    </row>
    <row r="27" spans="1:31" s="86" customFormat="1" ht="15.75" thickBot="1">
      <c r="A27" s="224"/>
      <c r="B27" s="225"/>
      <c r="C27" s="226"/>
      <c r="D27" s="226"/>
      <c r="E27" s="226"/>
      <c r="F27" s="227"/>
      <c r="G27" s="228"/>
      <c r="H27" s="229"/>
      <c r="I27" s="229"/>
      <c r="J27" s="229"/>
      <c r="K27" s="229"/>
      <c r="L27" s="308"/>
      <c r="M27" s="228"/>
      <c r="N27" s="228"/>
      <c r="O27" s="229"/>
      <c r="P27" s="229"/>
      <c r="Q27" s="228"/>
      <c r="R27" s="309"/>
      <c r="S27" s="230"/>
      <c r="T27" s="230"/>
      <c r="U27" s="230"/>
      <c r="V27" s="231"/>
      <c r="W27" s="232"/>
      <c r="X27" s="233"/>
      <c r="Y27" s="234"/>
      <c r="Z27" s="231"/>
      <c r="AA27" s="235"/>
      <c r="AB27" s="235"/>
      <c r="AC27" s="235"/>
      <c r="AD27" s="235"/>
    </row>
    <row r="28" spans="1:31" s="86" customFormat="1" ht="16.5" thickTop="1" thickBot="1">
      <c r="A28" s="104"/>
      <c r="B28" s="104"/>
      <c r="C28" s="104"/>
      <c r="D28" s="104"/>
      <c r="E28" s="104"/>
      <c r="F28" s="107" t="s">
        <v>37</v>
      </c>
      <c r="G28" s="108">
        <f>SUM(G15:G26)</f>
        <v>595426164</v>
      </c>
      <c r="H28" s="108">
        <f>SUM(H15:H15)</f>
        <v>0</v>
      </c>
      <c r="I28" s="108" t="e">
        <f>SUM(#REF!)</f>
        <v>#REF!</v>
      </c>
      <c r="J28" s="108" t="e">
        <f>SUM(#REF!)</f>
        <v>#REF!</v>
      </c>
      <c r="K28" s="108">
        <f>SUM(K15:K26)</f>
        <v>595426164</v>
      </c>
      <c r="L28" s="108">
        <f>SUM(L15:L26)</f>
        <v>447365754.49000001</v>
      </c>
      <c r="M28" s="108">
        <f t="shared" ref="M28:O28" si="10">SUM(M15:M19)</f>
        <v>0</v>
      </c>
      <c r="N28" s="108">
        <f t="shared" si="10"/>
        <v>0</v>
      </c>
      <c r="O28" s="108">
        <f t="shared" si="10"/>
        <v>0</v>
      </c>
      <c r="P28" s="108">
        <f>SUM(P15:P26)</f>
        <v>463605790.31000018</v>
      </c>
      <c r="Q28" s="108">
        <f>SUM(Q15:Q26)</f>
        <v>131820373.68999979</v>
      </c>
      <c r="R28" s="108">
        <f>SUM(R15:T15)</f>
        <v>0</v>
      </c>
      <c r="S28" s="108"/>
      <c r="T28" s="108"/>
      <c r="U28" s="108">
        <f>SUM(U15:U15)</f>
        <v>129684392.2699998</v>
      </c>
      <c r="V28" s="115"/>
      <c r="W28" s="236"/>
      <c r="Y28" s="280"/>
      <c r="Z28" s="113"/>
      <c r="AA28" s="113"/>
      <c r="AB28" s="106"/>
    </row>
    <row r="29" spans="1:31" s="296" customFormat="1" ht="13.5" thickTop="1">
      <c r="A29" s="300"/>
      <c r="G29" s="295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V29" s="301"/>
      <c r="Y29" s="297"/>
      <c r="Z29" s="298"/>
      <c r="AA29" s="298"/>
      <c r="AB29" s="299"/>
    </row>
    <row r="30" spans="1:31" s="299" customFormat="1" ht="12.75">
      <c r="A30" s="205" t="s">
        <v>38</v>
      </c>
      <c r="B30" s="296"/>
      <c r="C30" s="296"/>
      <c r="D30" s="296"/>
      <c r="E30" s="296"/>
      <c r="F30" s="296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2"/>
      <c r="S30" s="302"/>
      <c r="T30" s="302"/>
      <c r="U30" s="302"/>
      <c r="V30" s="301"/>
      <c r="W30" s="296"/>
      <c r="X30" s="296"/>
      <c r="Y30" s="297"/>
      <c r="Z30" s="298"/>
      <c r="AA30" s="298"/>
      <c r="AC30" s="296"/>
      <c r="AD30" s="296"/>
      <c r="AE30" s="296"/>
    </row>
    <row r="31" spans="1:31">
      <c r="L31" s="216"/>
      <c r="P31" s="304"/>
    </row>
    <row r="32" spans="1:31" ht="23.25" customHeight="1">
      <c r="C32" s="139"/>
      <c r="O32" s="135"/>
      <c r="P32" s="216"/>
    </row>
    <row r="33" spans="15:16" s="135" customFormat="1" ht="33.75" customHeight="1">
      <c r="P33" s="303"/>
    </row>
    <row r="34" spans="15:16">
      <c r="O34" s="135"/>
    </row>
  </sheetData>
  <mergeCells count="11">
    <mergeCell ref="A8:B8"/>
    <mergeCell ref="A9:B9"/>
    <mergeCell ref="A10:B10"/>
    <mergeCell ref="A11:B11"/>
    <mergeCell ref="C2:AD2"/>
    <mergeCell ref="C3:AD3"/>
    <mergeCell ref="C4:AD4"/>
    <mergeCell ref="C5:AD5"/>
    <mergeCell ref="G13:K13"/>
    <mergeCell ref="L13:P13"/>
    <mergeCell ref="Q13:U13"/>
  </mergeCells>
  <pageMargins left="0.51181102362204722" right="0.51181102362204722" top="0.35433070866141736" bottom="0.35433070866141736" header="0.31496062992125984" footer="0.31496062992125984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2"/>
  <sheetViews>
    <sheetView tabSelected="1" workbookViewId="0">
      <selection activeCell="F10" sqref="F10"/>
    </sheetView>
  </sheetViews>
  <sheetFormatPr baseColWidth="10" defaultRowHeight="15"/>
  <cols>
    <col min="1" max="1" width="12.42578125" customWidth="1"/>
    <col min="3" max="3" width="21.7109375" customWidth="1"/>
    <col min="4" max="4" width="9.85546875" hidden="1" customWidth="1"/>
    <col min="5" max="5" width="10.140625" customWidth="1"/>
    <col min="6" max="6" width="39.85546875" customWidth="1"/>
    <col min="7" max="7" width="15.140625" bestFit="1" customWidth="1"/>
    <col min="8" max="8" width="14.85546875" hidden="1" customWidth="1"/>
    <col min="9" max="9" width="14.42578125" customWidth="1"/>
    <col min="10" max="10" width="13.85546875" hidden="1" customWidth="1"/>
    <col min="11" max="11" width="4.85546875" hidden="1" customWidth="1"/>
    <col min="12" max="12" width="10.7109375" hidden="1" customWidth="1"/>
    <col min="13" max="13" width="15.28515625" customWidth="1"/>
    <col min="14" max="14" width="12.85546875" hidden="1" customWidth="1"/>
    <col min="15" max="15" width="13.85546875" hidden="1" customWidth="1"/>
    <col min="16" max="16" width="12.85546875" bestFit="1" customWidth="1"/>
    <col min="17" max="18" width="9.140625" bestFit="1" customWidth="1"/>
    <col min="19" max="19" width="13.140625" customWidth="1"/>
    <col min="20" max="20" width="8.42578125" bestFit="1" customWidth="1"/>
    <col min="22" max="22" width="19" customWidth="1"/>
    <col min="23" max="23" width="23.140625" customWidth="1"/>
    <col min="24" max="24" width="13.42578125" customWidth="1"/>
  </cols>
  <sheetData>
    <row r="2" spans="1:24" ht="29.25" customHeight="1">
      <c r="A2" s="460"/>
      <c r="B2" s="460"/>
      <c r="C2" s="484" t="s">
        <v>346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11"/>
    </row>
    <row r="3" spans="1:24" ht="26.25" customHeight="1">
      <c r="A3" s="460"/>
      <c r="B3" s="460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11"/>
    </row>
    <row r="4" spans="1:24" ht="24" customHeight="1">
      <c r="A4" s="460"/>
      <c r="B4" s="460"/>
      <c r="C4" s="485" t="s">
        <v>347</v>
      </c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11"/>
    </row>
    <row r="5" spans="1:24" ht="38.25" customHeight="1">
      <c r="A5" s="460"/>
      <c r="B5" s="460"/>
      <c r="C5" s="486" t="s">
        <v>348</v>
      </c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11"/>
    </row>
    <row r="6" spans="1:24" ht="15.75" thickBot="1"/>
    <row r="7" spans="1:24" ht="20.100000000000001" customHeight="1">
      <c r="A7" s="487" t="s">
        <v>39</v>
      </c>
      <c r="B7" s="488"/>
      <c r="C7" s="145">
        <v>145882796</v>
      </c>
      <c r="D7" s="146"/>
      <c r="E7" s="267"/>
      <c r="F7" s="2"/>
      <c r="J7" s="11"/>
      <c r="L7" s="11"/>
      <c r="M7" s="11"/>
      <c r="N7" s="11"/>
      <c r="O7" s="11"/>
      <c r="P7" s="11"/>
    </row>
    <row r="8" spans="1:24" ht="20.100000000000001" customHeight="1">
      <c r="A8" s="480" t="s">
        <v>349</v>
      </c>
      <c r="B8" s="481"/>
      <c r="C8" s="147">
        <f>G96</f>
        <v>145114146.25000006</v>
      </c>
      <c r="D8" s="146"/>
      <c r="E8" s="267"/>
      <c r="F8" s="27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24" ht="20.100000000000001" customHeight="1">
      <c r="A9" s="480" t="s">
        <v>5</v>
      </c>
      <c r="B9" s="481"/>
      <c r="C9" s="147">
        <f>I96</f>
        <v>85791806.659999996</v>
      </c>
      <c r="D9" s="146"/>
      <c r="E9" s="267"/>
      <c r="F9" s="27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24" ht="20.100000000000001" customHeight="1" thickBot="1">
      <c r="A10" s="482" t="s">
        <v>12</v>
      </c>
      <c r="B10" s="483"/>
      <c r="C10" s="148">
        <f>C8-C9</f>
        <v>59322339.590000063</v>
      </c>
      <c r="E10" s="268"/>
      <c r="F10" s="2"/>
      <c r="N10" s="149"/>
      <c r="O10" s="149"/>
      <c r="R10" s="11"/>
      <c r="V10" s="72"/>
      <c r="W10" s="150"/>
    </row>
    <row r="11" spans="1:24" ht="15" customHeight="1">
      <c r="A11" s="151"/>
      <c r="B11" s="151"/>
      <c r="N11" s="149"/>
      <c r="O11" s="149"/>
      <c r="R11" s="11"/>
      <c r="V11" s="72"/>
      <c r="W11" s="150"/>
    </row>
    <row r="12" spans="1:24" ht="16.5" thickBot="1">
      <c r="O12" s="149"/>
      <c r="P12" s="149"/>
      <c r="S12" s="11"/>
      <c r="W12" s="72"/>
      <c r="X12" s="320" t="s">
        <v>878</v>
      </c>
    </row>
    <row r="13" spans="1:24" ht="16.5" thickTop="1" thickBot="1">
      <c r="A13" s="152"/>
      <c r="B13" s="152"/>
      <c r="C13" s="152"/>
      <c r="D13" s="152"/>
      <c r="E13" s="152"/>
      <c r="F13" s="152"/>
      <c r="G13" s="153" t="s">
        <v>13</v>
      </c>
      <c r="H13" s="154"/>
      <c r="I13" s="155" t="s">
        <v>14</v>
      </c>
      <c r="J13" s="154"/>
      <c r="K13" s="154"/>
      <c r="L13" s="156"/>
      <c r="M13" s="157" t="s">
        <v>15</v>
      </c>
      <c r="N13" s="158" t="s">
        <v>350</v>
      </c>
      <c r="O13" s="159" t="s">
        <v>351</v>
      </c>
      <c r="P13" s="160"/>
      <c r="Q13" s="161"/>
      <c r="R13" s="161"/>
      <c r="S13" s="161"/>
      <c r="T13" s="161"/>
      <c r="U13" s="161"/>
      <c r="V13" s="162"/>
      <c r="W13" s="161"/>
      <c r="X13" s="161"/>
    </row>
    <row r="14" spans="1:24" ht="24.75" customHeight="1" thickTop="1" thickBot="1">
      <c r="A14" s="163" t="s">
        <v>16</v>
      </c>
      <c r="B14" s="164" t="s">
        <v>17</v>
      </c>
      <c r="C14" s="164" t="s">
        <v>18</v>
      </c>
      <c r="D14" s="164" t="s">
        <v>560</v>
      </c>
      <c r="E14" s="164" t="s">
        <v>77</v>
      </c>
      <c r="F14" s="164" t="s">
        <v>21</v>
      </c>
      <c r="G14" s="165" t="s">
        <v>22</v>
      </c>
      <c r="H14" s="165" t="s">
        <v>352</v>
      </c>
      <c r="I14" s="165" t="s">
        <v>22</v>
      </c>
      <c r="J14" s="165" t="s">
        <v>352</v>
      </c>
      <c r="K14" s="165" t="s">
        <v>22</v>
      </c>
      <c r="L14" s="164" t="s">
        <v>352</v>
      </c>
      <c r="M14" s="165" t="s">
        <v>22</v>
      </c>
      <c r="N14" s="165" t="s">
        <v>353</v>
      </c>
      <c r="O14" s="165" t="s">
        <v>351</v>
      </c>
      <c r="P14" s="164" t="s">
        <v>24</v>
      </c>
      <c r="Q14" s="164" t="s">
        <v>354</v>
      </c>
      <c r="R14" s="164" t="s">
        <v>355</v>
      </c>
      <c r="S14" s="489" t="s">
        <v>27</v>
      </c>
      <c r="T14" s="490"/>
      <c r="U14" s="164" t="s">
        <v>28</v>
      </c>
      <c r="V14" s="164" t="s">
        <v>356</v>
      </c>
      <c r="W14" s="164" t="s">
        <v>30</v>
      </c>
      <c r="X14" s="166" t="s">
        <v>31</v>
      </c>
    </row>
    <row r="15" spans="1:24" s="32" customFormat="1" ht="96.75" customHeight="1">
      <c r="A15" s="377" t="s">
        <v>357</v>
      </c>
      <c r="B15" s="378">
        <v>43563</v>
      </c>
      <c r="C15" s="379" t="s">
        <v>725</v>
      </c>
      <c r="D15" s="380" t="s">
        <v>562</v>
      </c>
      <c r="E15" s="381" t="s">
        <v>358</v>
      </c>
      <c r="F15" s="382" t="s">
        <v>726</v>
      </c>
      <c r="G15" s="383">
        <f t="shared" ref="G15:G90" si="0">H15</f>
        <v>3228034.9</v>
      </c>
      <c r="H15" s="384">
        <v>3228034.9</v>
      </c>
      <c r="I15" s="383">
        <f t="shared" ref="I15:I90" si="1">J15</f>
        <v>1575370.5300000003</v>
      </c>
      <c r="J15" s="383">
        <f>744931.13+238607.02+327523.51+264308.87</f>
        <v>1575370.5300000003</v>
      </c>
      <c r="K15" s="383">
        <v>0</v>
      </c>
      <c r="L15" s="385">
        <v>0</v>
      </c>
      <c r="M15" s="386">
        <f t="shared" ref="M15:M90" si="2">G15-I15</f>
        <v>1652664.3699999996</v>
      </c>
      <c r="N15" s="175">
        <v>0</v>
      </c>
      <c r="O15" s="175">
        <f t="shared" ref="O15:O90" si="3">I15+N15</f>
        <v>1575370.5300000003</v>
      </c>
      <c r="P15" s="387" t="s">
        <v>359</v>
      </c>
      <c r="Q15" s="388">
        <f t="shared" ref="Q15:Q90" si="4">I15/G15</f>
        <v>0.4880277254747154</v>
      </c>
      <c r="R15" s="388">
        <v>0.7</v>
      </c>
      <c r="S15" s="389" t="s">
        <v>360</v>
      </c>
      <c r="T15" s="390">
        <v>1472.05</v>
      </c>
      <c r="U15" s="391" t="s">
        <v>361</v>
      </c>
      <c r="V15" s="379" t="s">
        <v>601</v>
      </c>
      <c r="W15" s="379" t="s">
        <v>576</v>
      </c>
      <c r="X15" s="379" t="s">
        <v>602</v>
      </c>
    </row>
    <row r="16" spans="1:24" s="32" customFormat="1" ht="105.75" customHeight="1">
      <c r="A16" s="90" t="s">
        <v>357</v>
      </c>
      <c r="B16" s="88">
        <v>43560</v>
      </c>
      <c r="C16" s="89" t="s">
        <v>809</v>
      </c>
      <c r="D16" s="91"/>
      <c r="E16" s="392" t="s">
        <v>362</v>
      </c>
      <c r="F16" s="393" t="s">
        <v>810</v>
      </c>
      <c r="G16" s="93">
        <f t="shared" si="0"/>
        <v>2611575.35</v>
      </c>
      <c r="H16" s="182">
        <v>2611575.35</v>
      </c>
      <c r="I16" s="93">
        <f t="shared" si="1"/>
        <v>969050.62</v>
      </c>
      <c r="J16" s="93">
        <f>630363.53+124349.74+214337.35</f>
        <v>969050.62</v>
      </c>
      <c r="K16" s="93">
        <v>0</v>
      </c>
      <c r="L16" s="394">
        <v>0</v>
      </c>
      <c r="M16" s="180">
        <f>G16-I16-N16</f>
        <v>1642524.73</v>
      </c>
      <c r="N16" s="180">
        <v>0</v>
      </c>
      <c r="O16" s="181">
        <f t="shared" si="3"/>
        <v>969050.62</v>
      </c>
      <c r="P16" s="96" t="s">
        <v>359</v>
      </c>
      <c r="Q16" s="319">
        <f t="shared" si="4"/>
        <v>0.37105979729820926</v>
      </c>
      <c r="R16" s="319">
        <v>0.55000000000000004</v>
      </c>
      <c r="S16" s="131" t="s">
        <v>360</v>
      </c>
      <c r="T16" s="98">
        <v>1298.6400000000001</v>
      </c>
      <c r="U16" s="395" t="s">
        <v>363</v>
      </c>
      <c r="V16" s="89" t="s">
        <v>601</v>
      </c>
      <c r="W16" s="89" t="s">
        <v>624</v>
      </c>
      <c r="X16" s="89" t="s">
        <v>727</v>
      </c>
    </row>
    <row r="17" spans="1:24" s="32" customFormat="1" ht="105" customHeight="1">
      <c r="A17" s="90" t="s">
        <v>357</v>
      </c>
      <c r="B17" s="88">
        <v>43560</v>
      </c>
      <c r="C17" s="89" t="s">
        <v>728</v>
      </c>
      <c r="D17" s="91" t="s">
        <v>562</v>
      </c>
      <c r="E17" s="392" t="s">
        <v>364</v>
      </c>
      <c r="F17" s="393" t="s">
        <v>729</v>
      </c>
      <c r="G17" s="93">
        <f t="shared" si="0"/>
        <v>3645244.28</v>
      </c>
      <c r="H17" s="182">
        <v>3645244.28</v>
      </c>
      <c r="I17" s="93">
        <f t="shared" si="1"/>
        <v>1603623.6199999999</v>
      </c>
      <c r="J17" s="93">
        <f>841210.22+159670.07+181312.08+102367.17+161532.63+157531.45</f>
        <v>1603623.6199999999</v>
      </c>
      <c r="K17" s="93">
        <v>0</v>
      </c>
      <c r="L17" s="394">
        <v>0</v>
      </c>
      <c r="M17" s="180">
        <f>G17-I17-N17</f>
        <v>2041620.66</v>
      </c>
      <c r="N17" s="180">
        <v>0</v>
      </c>
      <c r="O17" s="181">
        <f t="shared" si="3"/>
        <v>1603623.6199999999</v>
      </c>
      <c r="P17" s="96" t="s">
        <v>359</v>
      </c>
      <c r="Q17" s="319">
        <f t="shared" si="4"/>
        <v>0.4399221277977014</v>
      </c>
      <c r="R17" s="319">
        <v>0.8</v>
      </c>
      <c r="S17" s="131" t="s">
        <v>360</v>
      </c>
      <c r="T17" s="98">
        <v>1700.86</v>
      </c>
      <c r="U17" s="395" t="s">
        <v>365</v>
      </c>
      <c r="V17" s="89" t="s">
        <v>601</v>
      </c>
      <c r="W17" s="89" t="s">
        <v>603</v>
      </c>
      <c r="X17" s="89" t="s">
        <v>604</v>
      </c>
    </row>
    <row r="18" spans="1:24" s="32" customFormat="1" ht="105.75" customHeight="1">
      <c r="A18" s="90" t="s">
        <v>357</v>
      </c>
      <c r="B18" s="88">
        <v>43560</v>
      </c>
      <c r="C18" s="89" t="s">
        <v>730</v>
      </c>
      <c r="D18" s="91" t="s">
        <v>605</v>
      </c>
      <c r="E18" s="392" t="s">
        <v>366</v>
      </c>
      <c r="F18" s="393" t="s">
        <v>731</v>
      </c>
      <c r="G18" s="93">
        <f t="shared" si="0"/>
        <v>2438799.9700000002</v>
      </c>
      <c r="H18" s="182">
        <v>2438799.9700000002</v>
      </c>
      <c r="I18" s="93">
        <f t="shared" si="1"/>
        <v>2438799.96</v>
      </c>
      <c r="J18" s="93">
        <f>562799.98+380308.32+390470.57+451913.98+369377.59+283929.52</f>
        <v>2438799.96</v>
      </c>
      <c r="K18" s="93">
        <v>0</v>
      </c>
      <c r="L18" s="394">
        <v>0</v>
      </c>
      <c r="M18" s="180">
        <f t="shared" si="2"/>
        <v>1.0000000242143869E-2</v>
      </c>
      <c r="N18" s="180">
        <v>0</v>
      </c>
      <c r="O18" s="181">
        <f t="shared" si="3"/>
        <v>2438799.96</v>
      </c>
      <c r="P18" s="96" t="s">
        <v>359</v>
      </c>
      <c r="Q18" s="319">
        <f t="shared" si="4"/>
        <v>0.99999999589962263</v>
      </c>
      <c r="R18" s="319">
        <v>1</v>
      </c>
      <c r="S18" s="131" t="s">
        <v>360</v>
      </c>
      <c r="T18" s="98">
        <v>1172.48</v>
      </c>
      <c r="U18" s="395" t="s">
        <v>367</v>
      </c>
      <c r="V18" s="89" t="s">
        <v>601</v>
      </c>
      <c r="W18" s="89" t="s">
        <v>606</v>
      </c>
      <c r="X18" s="89" t="s">
        <v>607</v>
      </c>
    </row>
    <row r="19" spans="1:24" s="32" customFormat="1" ht="104.25" customHeight="1">
      <c r="A19" s="90" t="s">
        <v>357</v>
      </c>
      <c r="B19" s="88">
        <v>43560</v>
      </c>
      <c r="C19" s="89" t="s">
        <v>811</v>
      </c>
      <c r="D19" s="91"/>
      <c r="E19" s="392" t="s">
        <v>368</v>
      </c>
      <c r="F19" s="393" t="s">
        <v>812</v>
      </c>
      <c r="G19" s="93">
        <f t="shared" si="0"/>
        <v>1969676.5</v>
      </c>
      <c r="H19" s="182">
        <v>1969676.5</v>
      </c>
      <c r="I19" s="93">
        <f t="shared" si="1"/>
        <v>968460.90000000014</v>
      </c>
      <c r="J19" s="93">
        <f>527591.92+177857.52+263011.46</f>
        <v>968460.90000000014</v>
      </c>
      <c r="K19" s="93">
        <v>0</v>
      </c>
      <c r="L19" s="394">
        <v>0</v>
      </c>
      <c r="M19" s="180">
        <f t="shared" si="2"/>
        <v>1001215.5999999999</v>
      </c>
      <c r="N19" s="180">
        <v>0</v>
      </c>
      <c r="O19" s="181">
        <f t="shared" si="3"/>
        <v>968460.90000000014</v>
      </c>
      <c r="P19" s="96" t="s">
        <v>359</v>
      </c>
      <c r="Q19" s="319">
        <f t="shared" si="4"/>
        <v>0.49168525897526832</v>
      </c>
      <c r="R19" s="319">
        <v>0.45</v>
      </c>
      <c r="S19" s="131" t="s">
        <v>360</v>
      </c>
      <c r="T19" s="98">
        <v>1138.03</v>
      </c>
      <c r="U19" s="395" t="s">
        <v>369</v>
      </c>
      <c r="V19" s="89" t="s">
        <v>601</v>
      </c>
      <c r="W19" s="89" t="s">
        <v>150</v>
      </c>
      <c r="X19" s="89" t="s">
        <v>813</v>
      </c>
    </row>
    <row r="20" spans="1:24" s="32" customFormat="1" ht="89.1" customHeight="1">
      <c r="A20" s="90" t="s">
        <v>501</v>
      </c>
      <c r="B20" s="88">
        <v>43671</v>
      </c>
      <c r="C20" s="89" t="s">
        <v>814</v>
      </c>
      <c r="D20" s="91"/>
      <c r="E20" s="392" t="s">
        <v>732</v>
      </c>
      <c r="F20" s="393" t="s">
        <v>966</v>
      </c>
      <c r="G20" s="260">
        <f t="shared" si="0"/>
        <v>0</v>
      </c>
      <c r="H20" s="182">
        <v>0</v>
      </c>
      <c r="I20" s="260">
        <f t="shared" si="1"/>
        <v>0</v>
      </c>
      <c r="J20" s="93">
        <v>0</v>
      </c>
      <c r="K20" s="93">
        <v>0</v>
      </c>
      <c r="L20" s="394">
        <v>0</v>
      </c>
      <c r="M20" s="260">
        <f t="shared" si="2"/>
        <v>0</v>
      </c>
      <c r="N20" s="180">
        <v>0</v>
      </c>
      <c r="O20" s="181">
        <f t="shared" si="3"/>
        <v>0</v>
      </c>
      <c r="P20" s="260">
        <v>0</v>
      </c>
      <c r="Q20" s="182"/>
      <c r="R20" s="260">
        <v>0</v>
      </c>
      <c r="S20" s="260">
        <v>0</v>
      </c>
      <c r="T20" s="260">
        <v>0</v>
      </c>
      <c r="U20" s="260">
        <v>0</v>
      </c>
      <c r="V20" s="260">
        <v>0</v>
      </c>
      <c r="W20" s="260">
        <v>0</v>
      </c>
      <c r="X20" s="260">
        <v>0</v>
      </c>
    </row>
    <row r="21" spans="1:24" s="32" customFormat="1" ht="89.1" customHeight="1">
      <c r="A21" s="90" t="s">
        <v>357</v>
      </c>
      <c r="B21" s="88">
        <v>43563</v>
      </c>
      <c r="C21" s="89" t="s">
        <v>886</v>
      </c>
      <c r="D21" s="91" t="s">
        <v>562</v>
      </c>
      <c r="E21" s="392" t="s">
        <v>370</v>
      </c>
      <c r="F21" s="393" t="s">
        <v>815</v>
      </c>
      <c r="G21" s="93">
        <f t="shared" si="0"/>
        <v>1069999.96</v>
      </c>
      <c r="H21" s="182">
        <v>1069999.96</v>
      </c>
      <c r="I21" s="93">
        <f t="shared" si="1"/>
        <v>1069999.96</v>
      </c>
      <c r="J21" s="93">
        <f>594925.86+233359.75+154529.19+87185.16</f>
        <v>1069999.96</v>
      </c>
      <c r="K21" s="93">
        <v>0</v>
      </c>
      <c r="L21" s="394">
        <v>0</v>
      </c>
      <c r="M21" s="180">
        <f t="shared" si="2"/>
        <v>0</v>
      </c>
      <c r="N21" s="180">
        <v>0</v>
      </c>
      <c r="O21" s="181">
        <f t="shared" si="3"/>
        <v>1069999.96</v>
      </c>
      <c r="P21" s="96" t="s">
        <v>359</v>
      </c>
      <c r="Q21" s="319">
        <f t="shared" si="4"/>
        <v>1</v>
      </c>
      <c r="R21" s="319">
        <v>1</v>
      </c>
      <c r="S21" s="131" t="s">
        <v>360</v>
      </c>
      <c r="T21" s="98">
        <v>858.34</v>
      </c>
      <c r="U21" s="395" t="s">
        <v>371</v>
      </c>
      <c r="V21" s="89" t="s">
        <v>618</v>
      </c>
      <c r="W21" s="89" t="s">
        <v>733</v>
      </c>
      <c r="X21" s="89" t="s">
        <v>734</v>
      </c>
    </row>
    <row r="22" spans="1:24" s="32" customFormat="1" ht="89.1" customHeight="1">
      <c r="A22" s="90" t="s">
        <v>357</v>
      </c>
      <c r="B22" s="88">
        <v>43563</v>
      </c>
      <c r="C22" s="89" t="s">
        <v>372</v>
      </c>
      <c r="D22" s="91" t="s">
        <v>608</v>
      </c>
      <c r="E22" s="392" t="s">
        <v>373</v>
      </c>
      <c r="F22" s="393" t="s">
        <v>374</v>
      </c>
      <c r="G22" s="93">
        <f t="shared" si="0"/>
        <v>1069406.8700000001</v>
      </c>
      <c r="H22" s="182">
        <v>1069406.8700000001</v>
      </c>
      <c r="I22" s="93">
        <f t="shared" si="1"/>
        <v>1069406.8500000001</v>
      </c>
      <c r="J22" s="93">
        <f>296250.11+267815.7+175804.08+201503.04+128033.92</f>
        <v>1069406.8500000001</v>
      </c>
      <c r="K22" s="93">
        <v>0</v>
      </c>
      <c r="L22" s="394">
        <v>0</v>
      </c>
      <c r="M22" s="180">
        <f t="shared" si="2"/>
        <v>2.0000000018626451E-2</v>
      </c>
      <c r="N22" s="180">
        <v>0</v>
      </c>
      <c r="O22" s="180">
        <f t="shared" si="3"/>
        <v>1069406.8500000001</v>
      </c>
      <c r="P22" s="96" t="s">
        <v>359</v>
      </c>
      <c r="Q22" s="319">
        <f t="shared" si="4"/>
        <v>0.99999998129804424</v>
      </c>
      <c r="R22" s="319">
        <v>1</v>
      </c>
      <c r="S22" s="131" t="s">
        <v>360</v>
      </c>
      <c r="T22" s="98">
        <v>292.8</v>
      </c>
      <c r="U22" s="395" t="s">
        <v>375</v>
      </c>
      <c r="V22" s="89" t="s">
        <v>618</v>
      </c>
      <c r="W22" s="89" t="s">
        <v>735</v>
      </c>
      <c r="X22" s="89" t="s">
        <v>736</v>
      </c>
    </row>
    <row r="23" spans="1:24" s="32" customFormat="1" ht="89.1" customHeight="1">
      <c r="A23" s="90" t="s">
        <v>357</v>
      </c>
      <c r="B23" s="88">
        <v>43563</v>
      </c>
      <c r="C23" s="89" t="s">
        <v>816</v>
      </c>
      <c r="D23" s="91"/>
      <c r="E23" s="392" t="s">
        <v>376</v>
      </c>
      <c r="F23" s="393" t="s">
        <v>817</v>
      </c>
      <c r="G23" s="93">
        <f t="shared" si="0"/>
        <v>887884.83</v>
      </c>
      <c r="H23" s="182">
        <v>887884.83</v>
      </c>
      <c r="I23" s="93">
        <f t="shared" si="1"/>
        <v>887884.82</v>
      </c>
      <c r="J23" s="93">
        <f>251783.8+351618.47+230740.23+53742.32</f>
        <v>887884.82</v>
      </c>
      <c r="K23" s="93">
        <v>0</v>
      </c>
      <c r="L23" s="394">
        <v>0</v>
      </c>
      <c r="M23" s="180">
        <f t="shared" si="2"/>
        <v>1.0000000009313226E-2</v>
      </c>
      <c r="N23" s="180">
        <v>0</v>
      </c>
      <c r="O23" s="180">
        <f t="shared" si="3"/>
        <v>887884.82</v>
      </c>
      <c r="P23" s="96" t="s">
        <v>359</v>
      </c>
      <c r="Q23" s="319">
        <f t="shared" si="4"/>
        <v>0.99999998873727802</v>
      </c>
      <c r="R23" s="319">
        <v>1</v>
      </c>
      <c r="S23" s="131" t="s">
        <v>360</v>
      </c>
      <c r="T23" s="98">
        <v>389.15</v>
      </c>
      <c r="U23" s="395" t="s">
        <v>375</v>
      </c>
      <c r="V23" s="89" t="s">
        <v>609</v>
      </c>
      <c r="W23" s="89" t="s">
        <v>610</v>
      </c>
      <c r="X23" s="89" t="s">
        <v>611</v>
      </c>
    </row>
    <row r="24" spans="1:24" s="32" customFormat="1" ht="89.1" customHeight="1">
      <c r="A24" s="90" t="s">
        <v>230</v>
      </c>
      <c r="B24" s="88">
        <v>43563</v>
      </c>
      <c r="C24" s="89" t="s">
        <v>377</v>
      </c>
      <c r="D24" s="91" t="s">
        <v>562</v>
      </c>
      <c r="E24" s="392" t="s">
        <v>378</v>
      </c>
      <c r="F24" s="393" t="s">
        <v>379</v>
      </c>
      <c r="G24" s="93">
        <f t="shared" si="0"/>
        <v>2082453.92</v>
      </c>
      <c r="H24" s="182">
        <v>2082453.92</v>
      </c>
      <c r="I24" s="93">
        <f t="shared" si="1"/>
        <v>1767512.81</v>
      </c>
      <c r="J24" s="93">
        <f>599493.61+205831.91+235405.45+322012.73+404769.11</f>
        <v>1767512.81</v>
      </c>
      <c r="K24" s="93">
        <v>0</v>
      </c>
      <c r="L24" s="394">
        <v>0</v>
      </c>
      <c r="M24" s="180">
        <f t="shared" si="2"/>
        <v>314941.10999999987</v>
      </c>
      <c r="N24" s="180">
        <v>0</v>
      </c>
      <c r="O24" s="180">
        <f t="shared" si="3"/>
        <v>1767512.81</v>
      </c>
      <c r="P24" s="96" t="s">
        <v>359</v>
      </c>
      <c r="Q24" s="319">
        <f t="shared" si="4"/>
        <v>0.84876442788227469</v>
      </c>
      <c r="R24" s="319">
        <v>1</v>
      </c>
      <c r="S24" s="131" t="s">
        <v>85</v>
      </c>
      <c r="T24" s="98">
        <v>803.47</v>
      </c>
      <c r="U24" s="395" t="s">
        <v>380</v>
      </c>
      <c r="V24" s="89" t="s">
        <v>538</v>
      </c>
      <c r="W24" s="89" t="s">
        <v>539</v>
      </c>
      <c r="X24" s="89" t="s">
        <v>540</v>
      </c>
    </row>
    <row r="25" spans="1:24" s="32" customFormat="1" ht="89.1" customHeight="1">
      <c r="A25" s="90" t="s">
        <v>230</v>
      </c>
      <c r="B25" s="88">
        <v>43563</v>
      </c>
      <c r="C25" s="89" t="s">
        <v>887</v>
      </c>
      <c r="D25" s="91" t="s">
        <v>562</v>
      </c>
      <c r="E25" s="392" t="s">
        <v>381</v>
      </c>
      <c r="F25" s="393" t="s">
        <v>888</v>
      </c>
      <c r="G25" s="93">
        <f t="shared" si="0"/>
        <v>2464218.4500000002</v>
      </c>
      <c r="H25" s="182">
        <v>2464218.4500000002</v>
      </c>
      <c r="I25" s="93">
        <f t="shared" si="1"/>
        <v>2178261.73</v>
      </c>
      <c r="J25" s="93">
        <f>840301.48+186147.78+139959.94+1011852.53</f>
        <v>2178261.73</v>
      </c>
      <c r="K25" s="93">
        <v>0</v>
      </c>
      <c r="L25" s="394">
        <v>0</v>
      </c>
      <c r="M25" s="180">
        <f t="shared" si="2"/>
        <v>285956.7200000002</v>
      </c>
      <c r="N25" s="180">
        <v>0</v>
      </c>
      <c r="O25" s="180">
        <f t="shared" si="3"/>
        <v>2178261.73</v>
      </c>
      <c r="P25" s="96" t="s">
        <v>359</v>
      </c>
      <c r="Q25" s="319">
        <f t="shared" si="4"/>
        <v>0.88395642439898126</v>
      </c>
      <c r="R25" s="319">
        <v>1</v>
      </c>
      <c r="S25" s="131" t="s">
        <v>85</v>
      </c>
      <c r="T25" s="98">
        <v>1875.62</v>
      </c>
      <c r="U25" s="395" t="s">
        <v>382</v>
      </c>
      <c r="V25" s="89" t="s">
        <v>538</v>
      </c>
      <c r="W25" s="89" t="s">
        <v>610</v>
      </c>
      <c r="X25" s="89" t="s">
        <v>541</v>
      </c>
    </row>
    <row r="26" spans="1:24" s="32" customFormat="1" ht="89.1" customHeight="1">
      <c r="A26" s="90" t="s">
        <v>230</v>
      </c>
      <c r="B26" s="88">
        <v>43563</v>
      </c>
      <c r="C26" s="89" t="s">
        <v>889</v>
      </c>
      <c r="D26" s="91" t="s">
        <v>562</v>
      </c>
      <c r="E26" s="392" t="s">
        <v>383</v>
      </c>
      <c r="F26" s="393" t="s">
        <v>890</v>
      </c>
      <c r="G26" s="93">
        <f t="shared" si="0"/>
        <v>1062922.93</v>
      </c>
      <c r="H26" s="182">
        <v>1062922.93</v>
      </c>
      <c r="I26" s="93">
        <f t="shared" si="1"/>
        <v>921521.39999999991</v>
      </c>
      <c r="J26" s="93">
        <f>350985.17+82285.01+488251.22</f>
        <v>921521.39999999991</v>
      </c>
      <c r="K26" s="93">
        <v>0</v>
      </c>
      <c r="L26" s="394">
        <v>0</v>
      </c>
      <c r="M26" s="180">
        <f t="shared" si="2"/>
        <v>141401.53000000003</v>
      </c>
      <c r="N26" s="180">
        <v>0</v>
      </c>
      <c r="O26" s="180">
        <f t="shared" si="3"/>
        <v>921521.39999999991</v>
      </c>
      <c r="P26" s="96" t="s">
        <v>359</v>
      </c>
      <c r="Q26" s="319">
        <f t="shared" si="4"/>
        <v>0.86696916021935844</v>
      </c>
      <c r="R26" s="319">
        <v>1</v>
      </c>
      <c r="S26" s="131" t="s">
        <v>85</v>
      </c>
      <c r="T26" s="98">
        <v>1030.97</v>
      </c>
      <c r="U26" s="395" t="s">
        <v>380</v>
      </c>
      <c r="V26" s="89" t="s">
        <v>538</v>
      </c>
      <c r="W26" s="89" t="s">
        <v>612</v>
      </c>
      <c r="X26" s="89" t="s">
        <v>542</v>
      </c>
    </row>
    <row r="27" spans="1:24" s="32" customFormat="1" ht="89.1" customHeight="1">
      <c r="A27" s="90" t="s">
        <v>230</v>
      </c>
      <c r="B27" s="88">
        <v>43563</v>
      </c>
      <c r="C27" s="89" t="s">
        <v>891</v>
      </c>
      <c r="D27" s="91" t="s">
        <v>562</v>
      </c>
      <c r="E27" s="392" t="s">
        <v>384</v>
      </c>
      <c r="F27" s="393" t="s">
        <v>892</v>
      </c>
      <c r="G27" s="93">
        <f t="shared" si="0"/>
        <v>1004131.19</v>
      </c>
      <c r="H27" s="182">
        <v>1004131.19</v>
      </c>
      <c r="I27" s="93">
        <f t="shared" si="1"/>
        <v>898393.41</v>
      </c>
      <c r="J27" s="93">
        <f>320748.51+53231.97+524412.93</f>
        <v>898393.41</v>
      </c>
      <c r="K27" s="93">
        <v>0</v>
      </c>
      <c r="L27" s="394">
        <v>0</v>
      </c>
      <c r="M27" s="180">
        <f t="shared" si="2"/>
        <v>105737.77999999991</v>
      </c>
      <c r="N27" s="180">
        <v>0</v>
      </c>
      <c r="O27" s="180">
        <f t="shared" si="3"/>
        <v>898393.41</v>
      </c>
      <c r="P27" s="96" t="s">
        <v>359</v>
      </c>
      <c r="Q27" s="319">
        <f t="shared" si="4"/>
        <v>0.89469724568559617</v>
      </c>
      <c r="R27" s="319">
        <v>1</v>
      </c>
      <c r="S27" s="131" t="s">
        <v>85</v>
      </c>
      <c r="T27" s="98">
        <v>1024.3599999999999</v>
      </c>
      <c r="U27" s="395" t="s">
        <v>380</v>
      </c>
      <c r="V27" s="89" t="s">
        <v>538</v>
      </c>
      <c r="W27" s="89" t="s">
        <v>613</v>
      </c>
      <c r="X27" s="89" t="s">
        <v>543</v>
      </c>
    </row>
    <row r="28" spans="1:24" s="32" customFormat="1" ht="104.25" customHeight="1">
      <c r="A28" s="90" t="s">
        <v>357</v>
      </c>
      <c r="B28" s="88">
        <v>43560</v>
      </c>
      <c r="C28" s="89" t="s">
        <v>737</v>
      </c>
      <c r="D28" s="91" t="s">
        <v>562</v>
      </c>
      <c r="E28" s="392" t="s">
        <v>385</v>
      </c>
      <c r="F28" s="393" t="s">
        <v>738</v>
      </c>
      <c r="G28" s="93">
        <f t="shared" si="0"/>
        <v>3704660.49</v>
      </c>
      <c r="H28" s="182">
        <v>3704660.49</v>
      </c>
      <c r="I28" s="93">
        <f t="shared" si="1"/>
        <v>3418737.23</v>
      </c>
      <c r="J28" s="93">
        <f>854921.65+307642.65+1337265.2+526666.06+392241.67</f>
        <v>3418737.23</v>
      </c>
      <c r="K28" s="93">
        <v>0</v>
      </c>
      <c r="L28" s="394">
        <v>0</v>
      </c>
      <c r="M28" s="180">
        <f t="shared" si="2"/>
        <v>285923.26000000024</v>
      </c>
      <c r="N28" s="180">
        <v>0</v>
      </c>
      <c r="O28" s="180">
        <f t="shared" si="3"/>
        <v>3418737.23</v>
      </c>
      <c r="P28" s="96" t="s">
        <v>359</v>
      </c>
      <c r="Q28" s="319">
        <f t="shared" si="4"/>
        <v>0.92282065771700439</v>
      </c>
      <c r="R28" s="319">
        <v>1</v>
      </c>
      <c r="S28" s="131" t="s">
        <v>360</v>
      </c>
      <c r="T28" s="98">
        <v>100.88</v>
      </c>
      <c r="U28" s="395" t="s">
        <v>386</v>
      </c>
      <c r="V28" s="89" t="s">
        <v>601</v>
      </c>
      <c r="W28" s="89" t="s">
        <v>614</v>
      </c>
      <c r="X28" s="89" t="s">
        <v>615</v>
      </c>
    </row>
    <row r="29" spans="1:24" s="32" customFormat="1" ht="89.1" customHeight="1">
      <c r="A29" s="90" t="s">
        <v>357</v>
      </c>
      <c r="B29" s="88">
        <v>43560</v>
      </c>
      <c r="C29" s="89" t="s">
        <v>818</v>
      </c>
      <c r="D29" s="91" t="s">
        <v>562</v>
      </c>
      <c r="E29" s="392" t="s">
        <v>387</v>
      </c>
      <c r="F29" s="393" t="s">
        <v>819</v>
      </c>
      <c r="G29" s="93">
        <f t="shared" si="0"/>
        <v>863045.25</v>
      </c>
      <c r="H29" s="182">
        <v>863045.25</v>
      </c>
      <c r="I29" s="93">
        <f t="shared" si="1"/>
        <v>863045.26</v>
      </c>
      <c r="J29" s="93">
        <f>250524.78+416284.1+86079.08+110157.3</f>
        <v>863045.26</v>
      </c>
      <c r="K29" s="93">
        <v>0</v>
      </c>
      <c r="L29" s="394">
        <v>0</v>
      </c>
      <c r="M29" s="180">
        <f t="shared" si="2"/>
        <v>-1.0000000009313226E-2</v>
      </c>
      <c r="N29" s="180">
        <v>0</v>
      </c>
      <c r="O29" s="180">
        <f t="shared" si="3"/>
        <v>863045.26</v>
      </c>
      <c r="P29" s="96" t="s">
        <v>359</v>
      </c>
      <c r="Q29" s="319">
        <f t="shared" si="4"/>
        <v>1.0000000115868779</v>
      </c>
      <c r="R29" s="319">
        <v>1</v>
      </c>
      <c r="S29" s="131" t="s">
        <v>360</v>
      </c>
      <c r="T29" s="98">
        <v>186.5</v>
      </c>
      <c r="U29" s="395" t="s">
        <v>388</v>
      </c>
      <c r="V29" s="89" t="s">
        <v>609</v>
      </c>
      <c r="W29" s="89" t="s">
        <v>616</v>
      </c>
      <c r="X29" s="89" t="s">
        <v>617</v>
      </c>
    </row>
    <row r="30" spans="1:24" s="32" customFormat="1" ht="89.1" customHeight="1">
      <c r="A30" s="90" t="s">
        <v>230</v>
      </c>
      <c r="B30" s="88">
        <v>43564</v>
      </c>
      <c r="C30" s="89" t="s">
        <v>389</v>
      </c>
      <c r="D30" s="91" t="s">
        <v>562</v>
      </c>
      <c r="E30" s="392" t="s">
        <v>390</v>
      </c>
      <c r="F30" s="393" t="s">
        <v>391</v>
      </c>
      <c r="G30" s="93">
        <f t="shared" si="0"/>
        <v>2668966.71</v>
      </c>
      <c r="H30" s="182">
        <v>2668966.71</v>
      </c>
      <c r="I30" s="93">
        <f t="shared" si="1"/>
        <v>781754.29</v>
      </c>
      <c r="J30" s="93">
        <v>781754.29</v>
      </c>
      <c r="K30" s="93">
        <v>0</v>
      </c>
      <c r="L30" s="394">
        <v>0</v>
      </c>
      <c r="M30" s="180">
        <f t="shared" si="2"/>
        <v>1887212.42</v>
      </c>
      <c r="N30" s="180">
        <v>0</v>
      </c>
      <c r="O30" s="180">
        <f t="shared" si="3"/>
        <v>781754.29</v>
      </c>
      <c r="P30" s="96" t="s">
        <v>359</v>
      </c>
      <c r="Q30" s="319">
        <f t="shared" si="4"/>
        <v>0.29290522323524976</v>
      </c>
      <c r="R30" s="319">
        <v>0.99</v>
      </c>
      <c r="S30" s="131" t="s">
        <v>85</v>
      </c>
      <c r="T30" s="98">
        <v>976.48</v>
      </c>
      <c r="U30" s="395" t="s">
        <v>380</v>
      </c>
      <c r="V30" s="89" t="s">
        <v>618</v>
      </c>
      <c r="W30" s="89" t="s">
        <v>619</v>
      </c>
      <c r="X30" s="89" t="s">
        <v>620</v>
      </c>
    </row>
    <row r="31" spans="1:24" s="32" customFormat="1" ht="89.1" customHeight="1">
      <c r="A31" s="90" t="s">
        <v>484</v>
      </c>
      <c r="B31" s="88">
        <v>43605</v>
      </c>
      <c r="C31" s="89" t="s">
        <v>485</v>
      </c>
      <c r="D31" s="91"/>
      <c r="E31" s="392" t="s">
        <v>486</v>
      </c>
      <c r="F31" s="393" t="s">
        <v>487</v>
      </c>
      <c r="G31" s="93">
        <f t="shared" si="0"/>
        <v>1178699.68</v>
      </c>
      <c r="H31" s="182">
        <v>1178699.68</v>
      </c>
      <c r="I31" s="93">
        <f t="shared" si="1"/>
        <v>715506.1</v>
      </c>
      <c r="J31" s="93">
        <f>585578.95+129927.15</f>
        <v>715506.1</v>
      </c>
      <c r="K31" s="93">
        <v>0</v>
      </c>
      <c r="L31" s="394">
        <v>0</v>
      </c>
      <c r="M31" s="180">
        <f t="shared" si="2"/>
        <v>463193.57999999996</v>
      </c>
      <c r="N31" s="180">
        <v>0</v>
      </c>
      <c r="O31" s="180">
        <f t="shared" si="3"/>
        <v>715506.1</v>
      </c>
      <c r="P31" s="96" t="s">
        <v>359</v>
      </c>
      <c r="Q31" s="319">
        <f t="shared" si="4"/>
        <v>0.60703002820871221</v>
      </c>
      <c r="R31" s="319">
        <v>0.9</v>
      </c>
      <c r="S31" s="131" t="s">
        <v>32</v>
      </c>
      <c r="T31" s="98">
        <v>1</v>
      </c>
      <c r="U31" s="395" t="s">
        <v>530</v>
      </c>
      <c r="V31" s="89" t="s">
        <v>601</v>
      </c>
      <c r="W31" s="89" t="s">
        <v>739</v>
      </c>
      <c r="X31" s="89" t="s">
        <v>740</v>
      </c>
    </row>
    <row r="32" spans="1:24" s="32" customFormat="1" ht="89.1" customHeight="1">
      <c r="A32" s="90" t="s">
        <v>484</v>
      </c>
      <c r="B32" s="88">
        <v>43605</v>
      </c>
      <c r="C32" s="89" t="s">
        <v>488</v>
      </c>
      <c r="D32" s="91"/>
      <c r="E32" s="392" t="s">
        <v>489</v>
      </c>
      <c r="F32" s="393" t="s">
        <v>490</v>
      </c>
      <c r="G32" s="93">
        <f t="shared" si="0"/>
        <v>1722584.19</v>
      </c>
      <c r="H32" s="182">
        <v>1722584.19</v>
      </c>
      <c r="I32" s="93">
        <f t="shared" si="1"/>
        <v>1323611.26</v>
      </c>
      <c r="J32" s="93">
        <f>855622.64+318982.2+149006.42</f>
        <v>1323611.26</v>
      </c>
      <c r="K32" s="93">
        <v>0</v>
      </c>
      <c r="L32" s="394">
        <v>0</v>
      </c>
      <c r="M32" s="180">
        <f t="shared" si="2"/>
        <v>398972.92999999993</v>
      </c>
      <c r="N32" s="180">
        <v>0</v>
      </c>
      <c r="O32" s="180">
        <f t="shared" si="3"/>
        <v>1323611.26</v>
      </c>
      <c r="P32" s="96" t="s">
        <v>359</v>
      </c>
      <c r="Q32" s="319">
        <f t="shared" si="4"/>
        <v>0.76838697793923216</v>
      </c>
      <c r="R32" s="319">
        <v>0.85</v>
      </c>
      <c r="S32" s="131" t="s">
        <v>32</v>
      </c>
      <c r="T32" s="98">
        <v>1</v>
      </c>
      <c r="U32" s="395" t="s">
        <v>530</v>
      </c>
      <c r="V32" s="89" t="s">
        <v>618</v>
      </c>
      <c r="W32" s="89" t="s">
        <v>739</v>
      </c>
      <c r="X32" s="89" t="s">
        <v>820</v>
      </c>
    </row>
    <row r="33" spans="1:24" s="32" customFormat="1" ht="89.1" customHeight="1">
      <c r="A33" s="90" t="s">
        <v>484</v>
      </c>
      <c r="B33" s="88">
        <v>43605</v>
      </c>
      <c r="C33" s="89" t="s">
        <v>491</v>
      </c>
      <c r="D33" s="91"/>
      <c r="E33" s="392" t="s">
        <v>492</v>
      </c>
      <c r="F33" s="393" t="s">
        <v>741</v>
      </c>
      <c r="G33" s="93">
        <f t="shared" si="0"/>
        <v>0</v>
      </c>
      <c r="H33" s="182">
        <v>0</v>
      </c>
      <c r="I33" s="93">
        <f t="shared" si="1"/>
        <v>0</v>
      </c>
      <c r="J33" s="93">
        <v>0</v>
      </c>
      <c r="K33" s="93">
        <v>0</v>
      </c>
      <c r="L33" s="394">
        <v>0</v>
      </c>
      <c r="M33" s="180">
        <f t="shared" si="2"/>
        <v>0</v>
      </c>
      <c r="N33" s="180">
        <v>0</v>
      </c>
      <c r="O33" s="180">
        <f t="shared" si="3"/>
        <v>0</v>
      </c>
      <c r="P33" s="96" t="s">
        <v>359</v>
      </c>
      <c r="Q33" s="319" t="e">
        <f t="shared" si="4"/>
        <v>#DIV/0!</v>
      </c>
      <c r="R33" s="319">
        <v>0</v>
      </c>
      <c r="S33" s="131" t="s">
        <v>32</v>
      </c>
      <c r="T33" s="98">
        <v>1</v>
      </c>
      <c r="U33" s="395" t="s">
        <v>530</v>
      </c>
      <c r="V33" s="89"/>
      <c r="W33" s="89"/>
      <c r="X33" s="89"/>
    </row>
    <row r="34" spans="1:24" s="32" customFormat="1" ht="89.1" customHeight="1">
      <c r="A34" s="90" t="s">
        <v>484</v>
      </c>
      <c r="B34" s="88">
        <v>43605</v>
      </c>
      <c r="C34" s="89" t="s">
        <v>493</v>
      </c>
      <c r="D34" s="91"/>
      <c r="E34" s="392" t="s">
        <v>494</v>
      </c>
      <c r="F34" s="393" t="s">
        <v>495</v>
      </c>
      <c r="G34" s="93">
        <f t="shared" si="0"/>
        <v>975112.56</v>
      </c>
      <c r="H34" s="182">
        <v>975112.56</v>
      </c>
      <c r="I34" s="93">
        <f t="shared" si="1"/>
        <v>840274.46</v>
      </c>
      <c r="J34" s="93">
        <f>487504.84+352769.62</f>
        <v>840274.46</v>
      </c>
      <c r="K34" s="93">
        <v>0</v>
      </c>
      <c r="L34" s="394">
        <v>0</v>
      </c>
      <c r="M34" s="180">
        <f t="shared" si="2"/>
        <v>134838.10000000009</v>
      </c>
      <c r="N34" s="180">
        <v>0</v>
      </c>
      <c r="O34" s="180">
        <f t="shared" si="3"/>
        <v>840274.46</v>
      </c>
      <c r="P34" s="96" t="s">
        <v>359</v>
      </c>
      <c r="Q34" s="319">
        <f t="shared" si="4"/>
        <v>0.86172047665963802</v>
      </c>
      <c r="R34" s="319">
        <v>1</v>
      </c>
      <c r="S34" s="131" t="s">
        <v>32</v>
      </c>
      <c r="T34" s="98">
        <v>1</v>
      </c>
      <c r="U34" s="395" t="s">
        <v>530</v>
      </c>
      <c r="V34" s="89" t="s">
        <v>601</v>
      </c>
      <c r="W34" s="89" t="s">
        <v>742</v>
      </c>
      <c r="X34" s="89" t="s">
        <v>743</v>
      </c>
    </row>
    <row r="35" spans="1:24" s="32" customFormat="1" ht="89.1" customHeight="1">
      <c r="A35" s="90" t="s">
        <v>484</v>
      </c>
      <c r="B35" s="88">
        <v>43605</v>
      </c>
      <c r="C35" s="89" t="s">
        <v>496</v>
      </c>
      <c r="D35" s="91"/>
      <c r="E35" s="392" t="s">
        <v>497</v>
      </c>
      <c r="F35" s="393" t="s">
        <v>498</v>
      </c>
      <c r="G35" s="93">
        <f t="shared" si="0"/>
        <v>1302387.3500000001</v>
      </c>
      <c r="H35" s="182">
        <v>1302387.3500000001</v>
      </c>
      <c r="I35" s="93">
        <f t="shared" si="1"/>
        <v>1175571.1800000002</v>
      </c>
      <c r="J35" s="93">
        <f>648364.14+196387.28+138999.62+191820.14</f>
        <v>1175571.1800000002</v>
      </c>
      <c r="K35" s="93">
        <v>0</v>
      </c>
      <c r="L35" s="394">
        <v>0</v>
      </c>
      <c r="M35" s="180">
        <f t="shared" si="2"/>
        <v>126816.16999999993</v>
      </c>
      <c r="N35" s="180">
        <v>0</v>
      </c>
      <c r="O35" s="180">
        <f t="shared" si="3"/>
        <v>1175571.1800000002</v>
      </c>
      <c r="P35" s="96" t="s">
        <v>359</v>
      </c>
      <c r="Q35" s="319">
        <f t="shared" si="4"/>
        <v>0.90262791634147865</v>
      </c>
      <c r="R35" s="319">
        <v>0.85</v>
      </c>
      <c r="S35" s="131" t="s">
        <v>32</v>
      </c>
      <c r="T35" s="98">
        <v>1</v>
      </c>
      <c r="U35" s="395" t="s">
        <v>530</v>
      </c>
      <c r="V35" s="89" t="s">
        <v>609</v>
      </c>
      <c r="W35" s="89" t="s">
        <v>821</v>
      </c>
      <c r="X35" s="89" t="s">
        <v>822</v>
      </c>
    </row>
    <row r="36" spans="1:24" s="32" customFormat="1" ht="89.1" customHeight="1">
      <c r="A36" s="90" t="s">
        <v>484</v>
      </c>
      <c r="B36" s="88">
        <v>43605</v>
      </c>
      <c r="C36" s="89" t="s">
        <v>499</v>
      </c>
      <c r="D36" s="91"/>
      <c r="E36" s="392" t="s">
        <v>375</v>
      </c>
      <c r="F36" s="393" t="s">
        <v>500</v>
      </c>
      <c r="G36" s="93">
        <f t="shared" si="0"/>
        <v>1288251.1499999999</v>
      </c>
      <c r="H36" s="182">
        <v>1288251.1499999999</v>
      </c>
      <c r="I36" s="93">
        <f t="shared" si="1"/>
        <v>1126936.42</v>
      </c>
      <c r="J36" s="93">
        <f>642506.28+159288.51+325141.63</f>
        <v>1126936.42</v>
      </c>
      <c r="K36" s="93">
        <v>0</v>
      </c>
      <c r="L36" s="394">
        <v>0</v>
      </c>
      <c r="M36" s="180">
        <f t="shared" si="2"/>
        <v>161314.72999999998</v>
      </c>
      <c r="N36" s="180">
        <v>0</v>
      </c>
      <c r="O36" s="180">
        <f t="shared" si="3"/>
        <v>1126936.42</v>
      </c>
      <c r="P36" s="96" t="s">
        <v>359</v>
      </c>
      <c r="Q36" s="319">
        <f t="shared" si="4"/>
        <v>0.8747800613257749</v>
      </c>
      <c r="R36" s="319">
        <v>0.85</v>
      </c>
      <c r="S36" s="131" t="s">
        <v>32</v>
      </c>
      <c r="T36" s="98">
        <v>1</v>
      </c>
      <c r="U36" s="395" t="s">
        <v>530</v>
      </c>
      <c r="V36" s="89" t="s">
        <v>609</v>
      </c>
      <c r="W36" s="89" t="s">
        <v>821</v>
      </c>
      <c r="X36" s="89" t="s">
        <v>823</v>
      </c>
    </row>
    <row r="37" spans="1:24" s="32" customFormat="1" ht="89.1" customHeight="1">
      <c r="A37" s="90" t="s">
        <v>501</v>
      </c>
      <c r="B37" s="88">
        <v>43593</v>
      </c>
      <c r="C37" s="89" t="s">
        <v>744</v>
      </c>
      <c r="D37" s="91"/>
      <c r="E37" s="392" t="s">
        <v>502</v>
      </c>
      <c r="F37" s="393" t="s">
        <v>745</v>
      </c>
      <c r="G37" s="93">
        <f t="shared" si="0"/>
        <v>3766425.12</v>
      </c>
      <c r="H37" s="182">
        <v>3766425.12</v>
      </c>
      <c r="I37" s="93">
        <f t="shared" si="1"/>
        <v>1285202.23</v>
      </c>
      <c r="J37" s="93">
        <f>869175.03+416027.2</f>
        <v>1285202.23</v>
      </c>
      <c r="K37" s="93">
        <v>0</v>
      </c>
      <c r="L37" s="394">
        <v>0</v>
      </c>
      <c r="M37" s="180">
        <f t="shared" si="2"/>
        <v>2481222.89</v>
      </c>
      <c r="N37" s="180">
        <v>0</v>
      </c>
      <c r="O37" s="180">
        <f t="shared" si="3"/>
        <v>1285202.23</v>
      </c>
      <c r="P37" s="96" t="s">
        <v>359</v>
      </c>
      <c r="Q37" s="319">
        <f t="shared" si="4"/>
        <v>0.34122601380695972</v>
      </c>
      <c r="R37" s="319">
        <v>0.98</v>
      </c>
      <c r="S37" s="131" t="s">
        <v>360</v>
      </c>
      <c r="T37" s="98">
        <v>247.76</v>
      </c>
      <c r="U37" s="395" t="s">
        <v>242</v>
      </c>
      <c r="V37" s="89" t="s">
        <v>601</v>
      </c>
      <c r="W37" s="89" t="s">
        <v>621</v>
      </c>
      <c r="X37" s="89" t="s">
        <v>622</v>
      </c>
    </row>
    <row r="38" spans="1:24" s="32" customFormat="1" ht="89.1" customHeight="1">
      <c r="A38" s="90" t="s">
        <v>230</v>
      </c>
      <c r="B38" s="88">
        <v>43605</v>
      </c>
      <c r="C38" s="89" t="s">
        <v>893</v>
      </c>
      <c r="D38" s="91"/>
      <c r="E38" s="392" t="s">
        <v>503</v>
      </c>
      <c r="F38" s="393" t="s">
        <v>894</v>
      </c>
      <c r="G38" s="93">
        <f t="shared" si="0"/>
        <v>2799872.78</v>
      </c>
      <c r="H38" s="182">
        <v>2799872.78</v>
      </c>
      <c r="I38" s="93">
        <f t="shared" si="1"/>
        <v>2780555.43</v>
      </c>
      <c r="J38" s="93">
        <f>2667772.1+112783.33</f>
        <v>2780555.43</v>
      </c>
      <c r="K38" s="93">
        <v>0</v>
      </c>
      <c r="L38" s="394">
        <v>0</v>
      </c>
      <c r="M38" s="180">
        <f t="shared" si="2"/>
        <v>19317.349999999627</v>
      </c>
      <c r="N38" s="180">
        <v>0</v>
      </c>
      <c r="O38" s="180">
        <f t="shared" si="3"/>
        <v>2780555.43</v>
      </c>
      <c r="P38" s="96" t="s">
        <v>359</v>
      </c>
      <c r="Q38" s="319">
        <f t="shared" si="4"/>
        <v>0.99310063295090156</v>
      </c>
      <c r="R38" s="319">
        <v>1</v>
      </c>
      <c r="S38" s="131" t="s">
        <v>531</v>
      </c>
      <c r="T38" s="98">
        <v>40</v>
      </c>
      <c r="U38" s="395" t="s">
        <v>296</v>
      </c>
      <c r="V38" s="89" t="s">
        <v>618</v>
      </c>
      <c r="W38" s="89" t="s">
        <v>612</v>
      </c>
      <c r="X38" s="89" t="s">
        <v>623</v>
      </c>
    </row>
    <row r="39" spans="1:24" s="32" customFormat="1" ht="89.1" customHeight="1">
      <c r="A39" s="90" t="s">
        <v>230</v>
      </c>
      <c r="B39" s="88">
        <v>43605</v>
      </c>
      <c r="C39" s="89" t="s">
        <v>895</v>
      </c>
      <c r="D39" s="91"/>
      <c r="E39" s="392" t="s">
        <v>504</v>
      </c>
      <c r="F39" s="393" t="s">
        <v>896</v>
      </c>
      <c r="G39" s="93">
        <f t="shared" si="0"/>
        <v>2781325.36</v>
      </c>
      <c r="H39" s="182">
        <v>2781325.36</v>
      </c>
      <c r="I39" s="93">
        <f t="shared" si="1"/>
        <v>2555171.5499999998</v>
      </c>
      <c r="J39" s="93">
        <f>834397.61+261285.17+261285.17+339461.58+184461.41+184461.41+489819.2</f>
        <v>2555171.5499999998</v>
      </c>
      <c r="K39" s="93">
        <v>0</v>
      </c>
      <c r="L39" s="394">
        <v>0</v>
      </c>
      <c r="M39" s="180">
        <f t="shared" si="2"/>
        <v>226153.81000000006</v>
      </c>
      <c r="N39" s="180">
        <v>0</v>
      </c>
      <c r="O39" s="180">
        <f t="shared" si="3"/>
        <v>2555171.5499999998</v>
      </c>
      <c r="P39" s="96" t="s">
        <v>359</v>
      </c>
      <c r="Q39" s="319">
        <f t="shared" si="4"/>
        <v>0.91868847375698615</v>
      </c>
      <c r="R39" s="319">
        <v>0.94</v>
      </c>
      <c r="S39" s="131" t="s">
        <v>531</v>
      </c>
      <c r="T39" s="98">
        <v>40</v>
      </c>
      <c r="U39" s="395" t="s">
        <v>296</v>
      </c>
      <c r="V39" s="89" t="s">
        <v>618</v>
      </c>
      <c r="W39" s="89" t="s">
        <v>746</v>
      </c>
      <c r="X39" s="89" t="s">
        <v>747</v>
      </c>
    </row>
    <row r="40" spans="1:24" s="32" customFormat="1" ht="89.1" customHeight="1">
      <c r="A40" s="90" t="s">
        <v>230</v>
      </c>
      <c r="B40" s="88">
        <v>43605</v>
      </c>
      <c r="C40" s="89" t="s">
        <v>897</v>
      </c>
      <c r="D40" s="91"/>
      <c r="E40" s="392" t="s">
        <v>505</v>
      </c>
      <c r="F40" s="393" t="s">
        <v>898</v>
      </c>
      <c r="G40" s="93">
        <f t="shared" si="0"/>
        <v>2801199.81</v>
      </c>
      <c r="H40" s="182">
        <v>2801199.81</v>
      </c>
      <c r="I40" s="93">
        <f t="shared" si="1"/>
        <v>2217075.7799999998</v>
      </c>
      <c r="J40" s="93">
        <f>840359.94+611026.3+432529.45+333160.09</f>
        <v>2217075.7799999998</v>
      </c>
      <c r="K40" s="93">
        <v>0</v>
      </c>
      <c r="L40" s="394">
        <v>0</v>
      </c>
      <c r="M40" s="180">
        <f t="shared" si="2"/>
        <v>584124.03000000026</v>
      </c>
      <c r="N40" s="180">
        <v>0</v>
      </c>
      <c r="O40" s="180">
        <f t="shared" si="3"/>
        <v>2217075.7799999998</v>
      </c>
      <c r="P40" s="96" t="s">
        <v>359</v>
      </c>
      <c r="Q40" s="319">
        <f t="shared" si="4"/>
        <v>0.7914736292945842</v>
      </c>
      <c r="R40" s="319">
        <v>0.92</v>
      </c>
      <c r="S40" s="131" t="s">
        <v>531</v>
      </c>
      <c r="T40" s="98">
        <v>40</v>
      </c>
      <c r="U40" s="395" t="s">
        <v>296</v>
      </c>
      <c r="V40" s="89" t="s">
        <v>618</v>
      </c>
      <c r="W40" s="89" t="s">
        <v>748</v>
      </c>
      <c r="X40" s="89" t="s">
        <v>749</v>
      </c>
    </row>
    <row r="41" spans="1:24" s="32" customFormat="1" ht="89.1" customHeight="1">
      <c r="A41" s="90" t="s">
        <v>230</v>
      </c>
      <c r="B41" s="88">
        <v>43605</v>
      </c>
      <c r="C41" s="89" t="s">
        <v>899</v>
      </c>
      <c r="D41" s="91"/>
      <c r="E41" s="392" t="s">
        <v>506</v>
      </c>
      <c r="F41" s="393" t="s">
        <v>900</v>
      </c>
      <c r="G41" s="93">
        <f t="shared" si="0"/>
        <v>2710262.73</v>
      </c>
      <c r="H41" s="182">
        <v>2710262.73</v>
      </c>
      <c r="I41" s="93">
        <f t="shared" si="1"/>
        <v>2560334.7299999995</v>
      </c>
      <c r="J41" s="93">
        <f>813078.82+380317+637289.87+359601.28+370047.76</f>
        <v>2560334.7299999995</v>
      </c>
      <c r="K41" s="93">
        <v>0</v>
      </c>
      <c r="L41" s="394">
        <v>0</v>
      </c>
      <c r="M41" s="180">
        <f t="shared" si="2"/>
        <v>149928.00000000047</v>
      </c>
      <c r="N41" s="180">
        <v>0</v>
      </c>
      <c r="O41" s="180">
        <f t="shared" si="3"/>
        <v>2560334.7299999995</v>
      </c>
      <c r="P41" s="96" t="s">
        <v>359</v>
      </c>
      <c r="Q41" s="319">
        <f t="shared" si="4"/>
        <v>0.94468137780871142</v>
      </c>
      <c r="R41" s="319">
        <v>0.95</v>
      </c>
      <c r="S41" s="131" t="s">
        <v>531</v>
      </c>
      <c r="T41" s="98">
        <v>39</v>
      </c>
      <c r="U41" s="395" t="s">
        <v>532</v>
      </c>
      <c r="V41" s="89" t="s">
        <v>618</v>
      </c>
      <c r="W41" s="89" t="s">
        <v>750</v>
      </c>
      <c r="X41" s="89" t="s">
        <v>751</v>
      </c>
    </row>
    <row r="42" spans="1:24" s="32" customFormat="1" ht="89.1" customHeight="1">
      <c r="A42" s="90" t="s">
        <v>230</v>
      </c>
      <c r="B42" s="88">
        <v>43606</v>
      </c>
      <c r="C42" s="89" t="s">
        <v>901</v>
      </c>
      <c r="D42" s="91"/>
      <c r="E42" s="392" t="s">
        <v>507</v>
      </c>
      <c r="F42" s="393" t="s">
        <v>902</v>
      </c>
      <c r="G42" s="93">
        <f t="shared" si="0"/>
        <v>2866197.63</v>
      </c>
      <c r="H42" s="182">
        <v>2866197.63</v>
      </c>
      <c r="I42" s="93">
        <f t="shared" si="1"/>
        <v>1740690.76</v>
      </c>
      <c r="J42" s="93">
        <f>859859.29+484596.3+396235.17</f>
        <v>1740690.76</v>
      </c>
      <c r="K42" s="93">
        <v>0</v>
      </c>
      <c r="L42" s="394">
        <v>0</v>
      </c>
      <c r="M42" s="180">
        <f t="shared" si="2"/>
        <v>1125506.8699999999</v>
      </c>
      <c r="N42" s="180">
        <v>0</v>
      </c>
      <c r="O42" s="180">
        <f t="shared" si="3"/>
        <v>1740690.76</v>
      </c>
      <c r="P42" s="96" t="s">
        <v>359</v>
      </c>
      <c r="Q42" s="319">
        <f t="shared" si="4"/>
        <v>0.60731707464289542</v>
      </c>
      <c r="R42" s="319">
        <v>0.84</v>
      </c>
      <c r="S42" s="131" t="s">
        <v>531</v>
      </c>
      <c r="T42" s="98">
        <v>41</v>
      </c>
      <c r="U42" s="395" t="s">
        <v>298</v>
      </c>
      <c r="V42" s="89" t="s">
        <v>618</v>
      </c>
      <c r="W42" s="89" t="s">
        <v>752</v>
      </c>
      <c r="X42" s="89" t="s">
        <v>753</v>
      </c>
    </row>
    <row r="43" spans="1:24" s="32" customFormat="1" ht="89.1" customHeight="1">
      <c r="A43" s="90" t="s">
        <v>230</v>
      </c>
      <c r="B43" s="88">
        <v>43614</v>
      </c>
      <c r="C43" s="89" t="s">
        <v>508</v>
      </c>
      <c r="D43" s="91"/>
      <c r="E43" s="392" t="s">
        <v>509</v>
      </c>
      <c r="F43" s="393" t="s">
        <v>510</v>
      </c>
      <c r="G43" s="93">
        <f t="shared" si="0"/>
        <v>767830.91</v>
      </c>
      <c r="H43" s="182">
        <v>767830.91</v>
      </c>
      <c r="I43" s="93">
        <f t="shared" si="1"/>
        <v>668459.96</v>
      </c>
      <c r="J43" s="93">
        <f>221949.05+61498.72+302720.94+82291.25</f>
        <v>668459.96</v>
      </c>
      <c r="K43" s="93">
        <v>0</v>
      </c>
      <c r="L43" s="394">
        <v>0</v>
      </c>
      <c r="M43" s="180">
        <f t="shared" si="2"/>
        <v>99370.95000000007</v>
      </c>
      <c r="N43" s="180">
        <v>0</v>
      </c>
      <c r="O43" s="180">
        <f t="shared" si="3"/>
        <v>668459.96</v>
      </c>
      <c r="P43" s="96" t="s">
        <v>359</v>
      </c>
      <c r="Q43" s="319">
        <f t="shared" si="4"/>
        <v>0.87058224837549181</v>
      </c>
      <c r="R43" s="319">
        <v>1</v>
      </c>
      <c r="S43" s="131" t="s">
        <v>32</v>
      </c>
      <c r="T43" s="98">
        <v>1</v>
      </c>
      <c r="U43" s="395" t="s">
        <v>509</v>
      </c>
      <c r="V43" s="89" t="s">
        <v>609</v>
      </c>
      <c r="W43" s="89" t="s">
        <v>624</v>
      </c>
      <c r="X43" s="89" t="s">
        <v>625</v>
      </c>
    </row>
    <row r="44" spans="1:24" s="32" customFormat="1" ht="89.1" customHeight="1">
      <c r="A44" s="90" t="s">
        <v>230</v>
      </c>
      <c r="B44" s="88">
        <v>43614</v>
      </c>
      <c r="C44" s="89" t="s">
        <v>511</v>
      </c>
      <c r="D44" s="91"/>
      <c r="E44" s="392" t="s">
        <v>512</v>
      </c>
      <c r="F44" s="393" t="s">
        <v>513</v>
      </c>
      <c r="G44" s="93">
        <f t="shared" si="0"/>
        <v>958054.64</v>
      </c>
      <c r="H44" s="182">
        <v>958054.64</v>
      </c>
      <c r="I44" s="93">
        <f t="shared" si="1"/>
        <v>599155.32000000007</v>
      </c>
      <c r="J44" s="93">
        <f>280418.84+318736.48</f>
        <v>599155.32000000007</v>
      </c>
      <c r="K44" s="93">
        <v>0</v>
      </c>
      <c r="L44" s="394">
        <v>0</v>
      </c>
      <c r="M44" s="180">
        <f t="shared" si="2"/>
        <v>358899.31999999995</v>
      </c>
      <c r="N44" s="180">
        <v>0</v>
      </c>
      <c r="O44" s="180">
        <f t="shared" si="3"/>
        <v>599155.32000000007</v>
      </c>
      <c r="P44" s="96" t="s">
        <v>359</v>
      </c>
      <c r="Q44" s="319">
        <f t="shared" si="4"/>
        <v>0.62538742049200879</v>
      </c>
      <c r="R44" s="319">
        <v>1</v>
      </c>
      <c r="S44" s="131" t="s">
        <v>32</v>
      </c>
      <c r="T44" s="98">
        <v>1</v>
      </c>
      <c r="U44" s="395" t="s">
        <v>533</v>
      </c>
      <c r="V44" s="89" t="s">
        <v>609</v>
      </c>
      <c r="W44" s="89" t="s">
        <v>754</v>
      </c>
      <c r="X44" s="89" t="s">
        <v>755</v>
      </c>
    </row>
    <row r="45" spans="1:24" s="32" customFormat="1" ht="89.1" customHeight="1">
      <c r="A45" s="90" t="s">
        <v>230</v>
      </c>
      <c r="B45" s="88">
        <v>43614</v>
      </c>
      <c r="C45" s="89" t="s">
        <v>903</v>
      </c>
      <c r="D45" s="91"/>
      <c r="E45" s="392" t="s">
        <v>514</v>
      </c>
      <c r="F45" s="393" t="s">
        <v>904</v>
      </c>
      <c r="G45" s="93">
        <f t="shared" si="0"/>
        <v>561294</v>
      </c>
      <c r="H45" s="182">
        <v>561294</v>
      </c>
      <c r="I45" s="93">
        <f t="shared" si="1"/>
        <v>561294</v>
      </c>
      <c r="J45" s="93">
        <f>174000.11+340174.83+47119.06</f>
        <v>561294</v>
      </c>
      <c r="K45" s="93">
        <v>0</v>
      </c>
      <c r="L45" s="394">
        <v>0</v>
      </c>
      <c r="M45" s="180">
        <f t="shared" si="2"/>
        <v>0</v>
      </c>
      <c r="N45" s="180">
        <v>0</v>
      </c>
      <c r="O45" s="180">
        <f t="shared" si="3"/>
        <v>561294</v>
      </c>
      <c r="P45" s="96" t="s">
        <v>359</v>
      </c>
      <c r="Q45" s="319">
        <f t="shared" si="4"/>
        <v>1</v>
      </c>
      <c r="R45" s="319">
        <v>1</v>
      </c>
      <c r="S45" s="131" t="s">
        <v>32</v>
      </c>
      <c r="T45" s="98">
        <v>1</v>
      </c>
      <c r="U45" s="395" t="s">
        <v>534</v>
      </c>
      <c r="V45" s="89" t="s">
        <v>609</v>
      </c>
      <c r="W45" s="89" t="s">
        <v>626</v>
      </c>
      <c r="X45" s="89" t="s">
        <v>627</v>
      </c>
    </row>
    <row r="46" spans="1:24" s="32" customFormat="1" ht="89.1" customHeight="1">
      <c r="A46" s="90" t="s">
        <v>230</v>
      </c>
      <c r="B46" s="88">
        <v>43614</v>
      </c>
      <c r="C46" s="89" t="s">
        <v>515</v>
      </c>
      <c r="D46" s="91"/>
      <c r="E46" s="392" t="s">
        <v>516</v>
      </c>
      <c r="F46" s="393" t="s">
        <v>517</v>
      </c>
      <c r="G46" s="93">
        <f t="shared" si="0"/>
        <v>1118335.57</v>
      </c>
      <c r="H46" s="182">
        <v>1118335.57</v>
      </c>
      <c r="I46" s="93">
        <f t="shared" si="1"/>
        <v>1072688.8400000001</v>
      </c>
      <c r="J46" s="93">
        <f>323433.49+51992.15+584200.39+113062.81</f>
        <v>1072688.8400000001</v>
      </c>
      <c r="K46" s="93">
        <v>0</v>
      </c>
      <c r="L46" s="394">
        <v>0</v>
      </c>
      <c r="M46" s="180">
        <f t="shared" si="2"/>
        <v>45646.729999999981</v>
      </c>
      <c r="N46" s="180">
        <v>0</v>
      </c>
      <c r="O46" s="180">
        <f t="shared" si="3"/>
        <v>1072688.8400000001</v>
      </c>
      <c r="P46" s="96" t="s">
        <v>359</v>
      </c>
      <c r="Q46" s="319">
        <f t="shared" si="4"/>
        <v>0.9591833334962242</v>
      </c>
      <c r="R46" s="319">
        <v>1</v>
      </c>
      <c r="S46" s="131" t="s">
        <v>32</v>
      </c>
      <c r="T46" s="98">
        <v>1</v>
      </c>
      <c r="U46" s="395" t="s">
        <v>535</v>
      </c>
      <c r="V46" s="89" t="s">
        <v>609</v>
      </c>
      <c r="W46" s="89" t="s">
        <v>628</v>
      </c>
      <c r="X46" s="89" t="s">
        <v>629</v>
      </c>
    </row>
    <row r="47" spans="1:24" s="32" customFormat="1" ht="89.1" customHeight="1">
      <c r="A47" s="90" t="s">
        <v>230</v>
      </c>
      <c r="B47" s="88">
        <v>43614</v>
      </c>
      <c r="C47" s="89" t="s">
        <v>518</v>
      </c>
      <c r="D47" s="91"/>
      <c r="E47" s="392" t="s">
        <v>519</v>
      </c>
      <c r="F47" s="393" t="s">
        <v>520</v>
      </c>
      <c r="G47" s="93">
        <f t="shared" si="0"/>
        <v>136100.79</v>
      </c>
      <c r="H47" s="182">
        <v>136100.79</v>
      </c>
      <c r="I47" s="93">
        <f t="shared" si="1"/>
        <v>40422.870000000003</v>
      </c>
      <c r="J47" s="93">
        <v>40422.870000000003</v>
      </c>
      <c r="K47" s="93">
        <v>0</v>
      </c>
      <c r="L47" s="394">
        <v>0</v>
      </c>
      <c r="M47" s="180">
        <f t="shared" si="2"/>
        <v>95677.920000000013</v>
      </c>
      <c r="N47" s="180">
        <v>0</v>
      </c>
      <c r="O47" s="180">
        <f t="shared" si="3"/>
        <v>40422.870000000003</v>
      </c>
      <c r="P47" s="96" t="s">
        <v>359</v>
      </c>
      <c r="Q47" s="319">
        <f t="shared" si="4"/>
        <v>0.29700687262726394</v>
      </c>
      <c r="R47" s="319">
        <v>0.98</v>
      </c>
      <c r="S47" s="131" t="s">
        <v>32</v>
      </c>
      <c r="T47" s="98">
        <v>1</v>
      </c>
      <c r="U47" s="395" t="s">
        <v>435</v>
      </c>
      <c r="V47" s="89" t="s">
        <v>609</v>
      </c>
      <c r="W47" s="89" t="s">
        <v>824</v>
      </c>
      <c r="X47" s="89" t="s">
        <v>825</v>
      </c>
    </row>
    <row r="48" spans="1:24" s="32" customFormat="1" ht="89.1" customHeight="1">
      <c r="A48" s="90" t="s">
        <v>230</v>
      </c>
      <c r="B48" s="88">
        <v>43614</v>
      </c>
      <c r="C48" s="89" t="s">
        <v>521</v>
      </c>
      <c r="D48" s="91"/>
      <c r="E48" s="392" t="s">
        <v>522</v>
      </c>
      <c r="F48" s="393" t="s">
        <v>523</v>
      </c>
      <c r="G48" s="93">
        <f t="shared" si="0"/>
        <v>725570.22</v>
      </c>
      <c r="H48" s="182">
        <v>725570.22</v>
      </c>
      <c r="I48" s="93">
        <f t="shared" si="1"/>
        <v>674367.33</v>
      </c>
      <c r="J48" s="93">
        <f>209950.58+97975.53+268707.13+97734.09</f>
        <v>674367.33</v>
      </c>
      <c r="K48" s="93">
        <v>0</v>
      </c>
      <c r="L48" s="394">
        <v>0</v>
      </c>
      <c r="M48" s="180">
        <f t="shared" si="2"/>
        <v>51202.890000000014</v>
      </c>
      <c r="N48" s="180">
        <v>0</v>
      </c>
      <c r="O48" s="180">
        <f t="shared" si="3"/>
        <v>674367.33</v>
      </c>
      <c r="P48" s="96" t="s">
        <v>359</v>
      </c>
      <c r="Q48" s="319">
        <f t="shared" si="4"/>
        <v>0.92943082752211081</v>
      </c>
      <c r="R48" s="319">
        <v>1</v>
      </c>
      <c r="S48" s="131" t="s">
        <v>32</v>
      </c>
      <c r="T48" s="98">
        <v>1</v>
      </c>
      <c r="U48" s="395" t="s">
        <v>536</v>
      </c>
      <c r="V48" s="89" t="s">
        <v>609</v>
      </c>
      <c r="W48" s="89" t="s">
        <v>630</v>
      </c>
      <c r="X48" s="89" t="s">
        <v>631</v>
      </c>
    </row>
    <row r="49" spans="1:24" s="32" customFormat="1" ht="89.1" customHeight="1">
      <c r="A49" s="90" t="s">
        <v>230</v>
      </c>
      <c r="B49" s="88">
        <v>43614</v>
      </c>
      <c r="C49" s="89" t="s">
        <v>524</v>
      </c>
      <c r="D49" s="91"/>
      <c r="E49" s="392" t="s">
        <v>525</v>
      </c>
      <c r="F49" s="393" t="s">
        <v>526</v>
      </c>
      <c r="G49" s="93">
        <f t="shared" si="0"/>
        <v>822763.7</v>
      </c>
      <c r="H49" s="182">
        <v>822763.7</v>
      </c>
      <c r="I49" s="93">
        <f t="shared" si="1"/>
        <v>795225.37</v>
      </c>
      <c r="J49" s="93">
        <f>234126.37+79857.73+19386.11+23770.43+110620.08+249378.01+78086.64</f>
        <v>795225.37</v>
      </c>
      <c r="K49" s="93">
        <v>0</v>
      </c>
      <c r="L49" s="394">
        <v>0</v>
      </c>
      <c r="M49" s="180">
        <f t="shared" si="2"/>
        <v>27538.329999999958</v>
      </c>
      <c r="N49" s="180">
        <v>0</v>
      </c>
      <c r="O49" s="180">
        <f t="shared" si="3"/>
        <v>795225.37</v>
      </c>
      <c r="P49" s="96" t="s">
        <v>359</v>
      </c>
      <c r="Q49" s="319">
        <f t="shared" si="4"/>
        <v>0.96652947863402339</v>
      </c>
      <c r="R49" s="319">
        <v>1</v>
      </c>
      <c r="S49" s="131" t="s">
        <v>32</v>
      </c>
      <c r="T49" s="98">
        <v>1</v>
      </c>
      <c r="U49" s="395" t="s">
        <v>537</v>
      </c>
      <c r="V49" s="89" t="s">
        <v>609</v>
      </c>
      <c r="W49" s="89" t="s">
        <v>632</v>
      </c>
      <c r="X49" s="89" t="s">
        <v>633</v>
      </c>
    </row>
    <row r="50" spans="1:24" s="32" customFormat="1" ht="89.1" customHeight="1">
      <c r="A50" s="90" t="s">
        <v>230</v>
      </c>
      <c r="B50" s="88">
        <v>43614</v>
      </c>
      <c r="C50" s="89" t="s">
        <v>527</v>
      </c>
      <c r="D50" s="91"/>
      <c r="E50" s="392" t="s">
        <v>528</v>
      </c>
      <c r="F50" s="393" t="s">
        <v>529</v>
      </c>
      <c r="G50" s="93">
        <f t="shared" si="0"/>
        <v>692849.13</v>
      </c>
      <c r="H50" s="182">
        <v>692849.13</v>
      </c>
      <c r="I50" s="93">
        <f t="shared" si="1"/>
        <v>615136.87000000011</v>
      </c>
      <c r="J50" s="93">
        <f>200972.37+61529.71+264805.23+87829.56</f>
        <v>615136.87000000011</v>
      </c>
      <c r="K50" s="93">
        <v>0</v>
      </c>
      <c r="L50" s="394">
        <v>0</v>
      </c>
      <c r="M50" s="180">
        <f t="shared" si="2"/>
        <v>77712.259999999893</v>
      </c>
      <c r="N50" s="180">
        <v>0</v>
      </c>
      <c r="O50" s="180">
        <f t="shared" si="3"/>
        <v>615136.87000000011</v>
      </c>
      <c r="P50" s="96" t="s">
        <v>359</v>
      </c>
      <c r="Q50" s="319">
        <f t="shared" si="4"/>
        <v>0.88783667809469591</v>
      </c>
      <c r="R50" s="319">
        <v>1</v>
      </c>
      <c r="S50" s="131" t="s">
        <v>32</v>
      </c>
      <c r="T50" s="98">
        <v>1</v>
      </c>
      <c r="U50" s="395" t="s">
        <v>537</v>
      </c>
      <c r="V50" s="89" t="s">
        <v>609</v>
      </c>
      <c r="W50" s="89" t="s">
        <v>756</v>
      </c>
      <c r="X50" s="89" t="s">
        <v>757</v>
      </c>
    </row>
    <row r="51" spans="1:24" s="32" customFormat="1" ht="89.1" customHeight="1">
      <c r="A51" s="90" t="s">
        <v>230</v>
      </c>
      <c r="B51" s="88">
        <v>43621</v>
      </c>
      <c r="C51" s="89" t="s">
        <v>634</v>
      </c>
      <c r="D51" s="91"/>
      <c r="E51" s="392" t="s">
        <v>635</v>
      </c>
      <c r="F51" s="393" t="s">
        <v>636</v>
      </c>
      <c r="G51" s="93">
        <f t="shared" si="0"/>
        <v>769672.52</v>
      </c>
      <c r="H51" s="182">
        <v>769672.52</v>
      </c>
      <c r="I51" s="93">
        <f t="shared" si="1"/>
        <v>668926.62</v>
      </c>
      <c r="J51" s="93">
        <f>217477.17+370863.07+80586.38</f>
        <v>668926.62</v>
      </c>
      <c r="K51" s="93">
        <v>0</v>
      </c>
      <c r="L51" s="394">
        <v>0</v>
      </c>
      <c r="M51" s="180">
        <f t="shared" si="2"/>
        <v>100745.90000000002</v>
      </c>
      <c r="N51" s="180">
        <v>0</v>
      </c>
      <c r="O51" s="180">
        <f t="shared" si="3"/>
        <v>668926.62</v>
      </c>
      <c r="P51" s="96" t="s">
        <v>359</v>
      </c>
      <c r="Q51" s="319">
        <f t="shared" si="4"/>
        <v>0.86910549957012884</v>
      </c>
      <c r="R51" s="319">
        <v>1</v>
      </c>
      <c r="S51" s="131" t="s">
        <v>32</v>
      </c>
      <c r="T51" s="98">
        <v>1</v>
      </c>
      <c r="U51" s="395" t="s">
        <v>637</v>
      </c>
      <c r="V51" s="89" t="s">
        <v>609</v>
      </c>
      <c r="W51" s="89" t="s">
        <v>758</v>
      </c>
      <c r="X51" s="89" t="s">
        <v>759</v>
      </c>
    </row>
    <row r="52" spans="1:24" s="32" customFormat="1" ht="89.1" customHeight="1">
      <c r="A52" s="90" t="s">
        <v>230</v>
      </c>
      <c r="B52" s="88">
        <v>43621</v>
      </c>
      <c r="C52" s="89" t="s">
        <v>638</v>
      </c>
      <c r="D52" s="91"/>
      <c r="E52" s="392" t="s">
        <v>639</v>
      </c>
      <c r="F52" s="393" t="s">
        <v>640</v>
      </c>
      <c r="G52" s="93">
        <f t="shared" si="0"/>
        <v>901990.57</v>
      </c>
      <c r="H52" s="182">
        <v>901990.57</v>
      </c>
      <c r="I52" s="93">
        <f t="shared" si="1"/>
        <v>840601.5</v>
      </c>
      <c r="J52" s="93">
        <f>260997.97+213374.45+195972.31+114704.22+55552.55</f>
        <v>840601.5</v>
      </c>
      <c r="K52" s="93">
        <v>0</v>
      </c>
      <c r="L52" s="394">
        <v>0</v>
      </c>
      <c r="M52" s="180">
        <f t="shared" si="2"/>
        <v>61389.069999999949</v>
      </c>
      <c r="N52" s="180">
        <v>0</v>
      </c>
      <c r="O52" s="180">
        <f t="shared" si="3"/>
        <v>840601.5</v>
      </c>
      <c r="P52" s="96" t="s">
        <v>359</v>
      </c>
      <c r="Q52" s="319">
        <f t="shared" si="4"/>
        <v>0.93194045254819025</v>
      </c>
      <c r="R52" s="319">
        <v>1</v>
      </c>
      <c r="S52" s="131" t="s">
        <v>32</v>
      </c>
      <c r="T52" s="98">
        <v>1</v>
      </c>
      <c r="U52" s="395" t="s">
        <v>641</v>
      </c>
      <c r="V52" s="89" t="s">
        <v>609</v>
      </c>
      <c r="W52" s="89" t="s">
        <v>760</v>
      </c>
      <c r="X52" s="89" t="s">
        <v>761</v>
      </c>
    </row>
    <row r="53" spans="1:24" s="32" customFormat="1" ht="89.1" customHeight="1">
      <c r="A53" s="90" t="s">
        <v>230</v>
      </c>
      <c r="B53" s="88">
        <v>43629</v>
      </c>
      <c r="C53" s="89" t="s">
        <v>642</v>
      </c>
      <c r="D53" s="91"/>
      <c r="E53" s="392" t="s">
        <v>643</v>
      </c>
      <c r="F53" s="393" t="s">
        <v>644</v>
      </c>
      <c r="G53" s="93">
        <f t="shared" si="0"/>
        <v>2130194.66</v>
      </c>
      <c r="H53" s="182">
        <v>2130194.66</v>
      </c>
      <c r="I53" s="93">
        <f t="shared" si="1"/>
        <v>830640.71</v>
      </c>
      <c r="J53" s="93">
        <f>614929.63+215711.08</f>
        <v>830640.71</v>
      </c>
      <c r="K53" s="93">
        <v>0</v>
      </c>
      <c r="L53" s="394">
        <v>0</v>
      </c>
      <c r="M53" s="180">
        <f t="shared" si="2"/>
        <v>1299553.9500000002</v>
      </c>
      <c r="N53" s="180">
        <v>0</v>
      </c>
      <c r="O53" s="180">
        <f t="shared" si="3"/>
        <v>830640.71</v>
      </c>
      <c r="P53" s="96" t="s">
        <v>359</v>
      </c>
      <c r="Q53" s="319">
        <f t="shared" si="4"/>
        <v>0.38993652814808949</v>
      </c>
      <c r="R53" s="319">
        <v>0.95</v>
      </c>
      <c r="S53" s="131" t="s">
        <v>85</v>
      </c>
      <c r="T53" s="98">
        <v>900</v>
      </c>
      <c r="U53" s="395" t="s">
        <v>645</v>
      </c>
      <c r="V53" s="89" t="s">
        <v>618</v>
      </c>
      <c r="W53" s="89" t="s">
        <v>762</v>
      </c>
      <c r="X53" s="89" t="s">
        <v>763</v>
      </c>
    </row>
    <row r="54" spans="1:24" s="32" customFormat="1" ht="89.1" customHeight="1">
      <c r="A54" s="90" t="s">
        <v>230</v>
      </c>
      <c r="B54" s="88">
        <v>43629</v>
      </c>
      <c r="C54" s="89" t="s">
        <v>646</v>
      </c>
      <c r="D54" s="91"/>
      <c r="E54" s="392" t="s">
        <v>647</v>
      </c>
      <c r="F54" s="393" t="s">
        <v>648</v>
      </c>
      <c r="G54" s="93">
        <f t="shared" si="0"/>
        <v>1247146.81</v>
      </c>
      <c r="H54" s="182">
        <v>1247146.81</v>
      </c>
      <c r="I54" s="93">
        <f t="shared" si="1"/>
        <v>679245.58</v>
      </c>
      <c r="J54" s="93">
        <f>360296.19+101201.17+217748.22</f>
        <v>679245.58</v>
      </c>
      <c r="K54" s="93">
        <v>0</v>
      </c>
      <c r="L54" s="394">
        <v>0</v>
      </c>
      <c r="M54" s="180">
        <f t="shared" si="2"/>
        <v>567901.2300000001</v>
      </c>
      <c r="N54" s="180">
        <v>0</v>
      </c>
      <c r="O54" s="180">
        <f t="shared" si="3"/>
        <v>679245.58</v>
      </c>
      <c r="P54" s="96" t="s">
        <v>359</v>
      </c>
      <c r="Q54" s="319">
        <f t="shared" si="4"/>
        <v>0.54463963228194434</v>
      </c>
      <c r="R54" s="319">
        <v>0.9</v>
      </c>
      <c r="S54" s="131" t="s">
        <v>85</v>
      </c>
      <c r="T54" s="98">
        <v>580</v>
      </c>
      <c r="U54" s="395" t="s">
        <v>182</v>
      </c>
      <c r="V54" s="89" t="s">
        <v>618</v>
      </c>
      <c r="W54" s="89" t="s">
        <v>764</v>
      </c>
      <c r="X54" s="89" t="s">
        <v>765</v>
      </c>
    </row>
    <row r="55" spans="1:24" s="32" customFormat="1" ht="89.1" customHeight="1">
      <c r="A55" s="90" t="s">
        <v>230</v>
      </c>
      <c r="B55" s="88">
        <v>43629</v>
      </c>
      <c r="C55" s="89" t="s">
        <v>649</v>
      </c>
      <c r="D55" s="91"/>
      <c r="E55" s="392" t="s">
        <v>650</v>
      </c>
      <c r="F55" s="393" t="s">
        <v>651</v>
      </c>
      <c r="G55" s="93">
        <f t="shared" si="0"/>
        <v>3014432.85</v>
      </c>
      <c r="H55" s="182">
        <v>3014432.85</v>
      </c>
      <c r="I55" s="93">
        <f t="shared" si="1"/>
        <v>881145.48</v>
      </c>
      <c r="J55" s="93">
        <v>881145.48</v>
      </c>
      <c r="K55" s="93">
        <v>0</v>
      </c>
      <c r="L55" s="394">
        <v>0</v>
      </c>
      <c r="M55" s="180">
        <f t="shared" si="2"/>
        <v>2133287.37</v>
      </c>
      <c r="N55" s="180">
        <v>0</v>
      </c>
      <c r="O55" s="180">
        <f t="shared" si="3"/>
        <v>881145.48</v>
      </c>
      <c r="P55" s="96" t="s">
        <v>359</v>
      </c>
      <c r="Q55" s="319">
        <f t="shared" si="4"/>
        <v>0.29230887661007277</v>
      </c>
      <c r="R55" s="319">
        <v>0.45</v>
      </c>
      <c r="S55" s="131" t="s">
        <v>85</v>
      </c>
      <c r="T55" s="98">
        <v>1560</v>
      </c>
      <c r="U55" s="395" t="s">
        <v>652</v>
      </c>
      <c r="V55" s="89" t="s">
        <v>618</v>
      </c>
      <c r="W55" s="89" t="s">
        <v>766</v>
      </c>
      <c r="X55" s="89" t="s">
        <v>767</v>
      </c>
    </row>
    <row r="56" spans="1:24" s="32" customFormat="1" ht="89.1" customHeight="1">
      <c r="A56" s="90" t="s">
        <v>230</v>
      </c>
      <c r="B56" s="88">
        <v>43629</v>
      </c>
      <c r="C56" s="89" t="s">
        <v>653</v>
      </c>
      <c r="D56" s="91"/>
      <c r="E56" s="392" t="s">
        <v>654</v>
      </c>
      <c r="F56" s="393" t="s">
        <v>655</v>
      </c>
      <c r="G56" s="93">
        <f t="shared" si="0"/>
        <v>1075923.1100000001</v>
      </c>
      <c r="H56" s="182">
        <v>1075923.1100000001</v>
      </c>
      <c r="I56" s="93">
        <f t="shared" si="1"/>
        <v>823342.82000000007</v>
      </c>
      <c r="J56" s="93">
        <f>300409.12+522933.7</f>
        <v>823342.82000000007</v>
      </c>
      <c r="K56" s="93">
        <v>0</v>
      </c>
      <c r="L56" s="394">
        <v>0</v>
      </c>
      <c r="M56" s="180">
        <f t="shared" si="2"/>
        <v>252580.29000000004</v>
      </c>
      <c r="N56" s="180">
        <v>0</v>
      </c>
      <c r="O56" s="180">
        <f t="shared" si="3"/>
        <v>823342.82000000007</v>
      </c>
      <c r="P56" s="96" t="s">
        <v>359</v>
      </c>
      <c r="Q56" s="319">
        <f t="shared" si="4"/>
        <v>0.76524317801854813</v>
      </c>
      <c r="R56" s="319">
        <v>1</v>
      </c>
      <c r="S56" s="131" t="s">
        <v>85</v>
      </c>
      <c r="T56" s="98">
        <v>366</v>
      </c>
      <c r="U56" s="395" t="s">
        <v>182</v>
      </c>
      <c r="V56" s="89" t="s">
        <v>618</v>
      </c>
      <c r="W56" s="89" t="s">
        <v>768</v>
      </c>
      <c r="X56" s="89" t="s">
        <v>769</v>
      </c>
    </row>
    <row r="57" spans="1:24" s="32" customFormat="1" ht="89.1" customHeight="1">
      <c r="A57" s="90" t="s">
        <v>230</v>
      </c>
      <c r="B57" s="88">
        <v>43626</v>
      </c>
      <c r="C57" s="89" t="s">
        <v>656</v>
      </c>
      <c r="D57" s="91"/>
      <c r="E57" s="392" t="s">
        <v>657</v>
      </c>
      <c r="F57" s="393" t="s">
        <v>658</v>
      </c>
      <c r="G57" s="93">
        <f t="shared" si="0"/>
        <v>1123141.94</v>
      </c>
      <c r="H57" s="182">
        <v>1123141.94</v>
      </c>
      <c r="I57" s="93">
        <f t="shared" si="1"/>
        <v>1115624.06</v>
      </c>
      <c r="J57" s="93">
        <f>328938.95+86119.64+378549.69+283429.88+38585.9</f>
        <v>1115624.06</v>
      </c>
      <c r="K57" s="93">
        <v>0</v>
      </c>
      <c r="L57" s="394">
        <v>0</v>
      </c>
      <c r="M57" s="180">
        <f t="shared" si="2"/>
        <v>7517.8799999998882</v>
      </c>
      <c r="N57" s="180">
        <v>0</v>
      </c>
      <c r="O57" s="180">
        <f t="shared" si="3"/>
        <v>1115624.06</v>
      </c>
      <c r="P57" s="96" t="s">
        <v>359</v>
      </c>
      <c r="Q57" s="319">
        <f t="shared" si="4"/>
        <v>0.99330638476558009</v>
      </c>
      <c r="R57" s="319">
        <v>1</v>
      </c>
      <c r="S57" s="131" t="s">
        <v>32</v>
      </c>
      <c r="T57" s="98">
        <v>1</v>
      </c>
      <c r="U57" s="395" t="s">
        <v>659</v>
      </c>
      <c r="V57" s="89" t="s">
        <v>609</v>
      </c>
      <c r="W57" s="89" t="s">
        <v>770</v>
      </c>
      <c r="X57" s="89" t="s">
        <v>771</v>
      </c>
    </row>
    <row r="58" spans="1:24" s="32" customFormat="1" ht="89.1" customHeight="1">
      <c r="A58" s="90" t="s">
        <v>230</v>
      </c>
      <c r="B58" s="88">
        <v>43626</v>
      </c>
      <c r="C58" s="89" t="s">
        <v>660</v>
      </c>
      <c r="D58" s="91"/>
      <c r="E58" s="392" t="s">
        <v>661</v>
      </c>
      <c r="F58" s="393" t="s">
        <v>662</v>
      </c>
      <c r="G58" s="93">
        <f t="shared" si="0"/>
        <v>806764.16</v>
      </c>
      <c r="H58" s="182">
        <v>806764.16</v>
      </c>
      <c r="I58" s="93">
        <f t="shared" si="1"/>
        <v>230826.74</v>
      </c>
      <c r="J58" s="93">
        <v>230826.74</v>
      </c>
      <c r="K58" s="93">
        <v>0</v>
      </c>
      <c r="L58" s="394">
        <v>0</v>
      </c>
      <c r="M58" s="180">
        <f t="shared" si="2"/>
        <v>575937.42000000004</v>
      </c>
      <c r="N58" s="180">
        <v>0</v>
      </c>
      <c r="O58" s="180">
        <f t="shared" si="3"/>
        <v>230826.74</v>
      </c>
      <c r="P58" s="96" t="s">
        <v>359</v>
      </c>
      <c r="Q58" s="319">
        <f t="shared" si="4"/>
        <v>0.28611427161067737</v>
      </c>
      <c r="R58" s="319">
        <v>1</v>
      </c>
      <c r="S58" s="131" t="s">
        <v>32</v>
      </c>
      <c r="T58" s="98">
        <v>1</v>
      </c>
      <c r="U58" s="395" t="s">
        <v>663</v>
      </c>
      <c r="V58" s="89" t="s">
        <v>609</v>
      </c>
      <c r="W58" s="89" t="s">
        <v>772</v>
      </c>
      <c r="X58" s="89" t="s">
        <v>773</v>
      </c>
    </row>
    <row r="59" spans="1:24" s="32" customFormat="1" ht="89.1" customHeight="1">
      <c r="A59" s="90" t="s">
        <v>230</v>
      </c>
      <c r="B59" s="88">
        <v>43635</v>
      </c>
      <c r="C59" s="89" t="s">
        <v>664</v>
      </c>
      <c r="D59" s="91"/>
      <c r="E59" s="392" t="s">
        <v>665</v>
      </c>
      <c r="F59" s="393" t="s">
        <v>666</v>
      </c>
      <c r="G59" s="93">
        <f t="shared" si="0"/>
        <v>2452450.9300000002</v>
      </c>
      <c r="H59" s="182">
        <v>2452450.9300000002</v>
      </c>
      <c r="I59" s="93">
        <f t="shared" si="1"/>
        <v>708051.84</v>
      </c>
      <c r="J59" s="93">
        <v>708051.84</v>
      </c>
      <c r="K59" s="93">
        <v>0</v>
      </c>
      <c r="L59" s="394">
        <v>0</v>
      </c>
      <c r="M59" s="180">
        <f t="shared" si="2"/>
        <v>1744399.0900000003</v>
      </c>
      <c r="N59" s="180">
        <v>0</v>
      </c>
      <c r="O59" s="180">
        <f t="shared" si="3"/>
        <v>708051.84</v>
      </c>
      <c r="P59" s="96" t="s">
        <v>359</v>
      </c>
      <c r="Q59" s="319">
        <f t="shared" si="4"/>
        <v>0.28871192949821833</v>
      </c>
      <c r="R59" s="319">
        <v>0.95</v>
      </c>
      <c r="S59" s="131" t="s">
        <v>85</v>
      </c>
      <c r="T59" s="98">
        <v>1215</v>
      </c>
      <c r="U59" s="395" t="s">
        <v>645</v>
      </c>
      <c r="V59" s="89" t="s">
        <v>618</v>
      </c>
      <c r="W59" s="89" t="s">
        <v>614</v>
      </c>
      <c r="X59" s="89" t="s">
        <v>774</v>
      </c>
    </row>
    <row r="60" spans="1:24" s="32" customFormat="1" ht="89.1" customHeight="1">
      <c r="A60" s="90" t="s">
        <v>230</v>
      </c>
      <c r="B60" s="88">
        <v>43635</v>
      </c>
      <c r="C60" s="89" t="s">
        <v>667</v>
      </c>
      <c r="D60" s="91"/>
      <c r="E60" s="392" t="s">
        <v>668</v>
      </c>
      <c r="F60" s="393" t="s">
        <v>669</v>
      </c>
      <c r="G60" s="93">
        <f t="shared" si="0"/>
        <v>1912872.03</v>
      </c>
      <c r="H60" s="182">
        <v>1912872.03</v>
      </c>
      <c r="I60" s="93">
        <f t="shared" si="1"/>
        <v>549809.42000000004</v>
      </c>
      <c r="J60" s="93">
        <v>549809.42000000004</v>
      </c>
      <c r="K60" s="93">
        <v>0</v>
      </c>
      <c r="L60" s="394">
        <v>0</v>
      </c>
      <c r="M60" s="180">
        <f t="shared" si="2"/>
        <v>1363062.6099999999</v>
      </c>
      <c r="N60" s="180">
        <v>0</v>
      </c>
      <c r="O60" s="180">
        <f t="shared" si="3"/>
        <v>549809.42000000004</v>
      </c>
      <c r="P60" s="96" t="s">
        <v>359</v>
      </c>
      <c r="Q60" s="319">
        <f t="shared" si="4"/>
        <v>0.28742613796282024</v>
      </c>
      <c r="R60" s="319">
        <v>1</v>
      </c>
      <c r="S60" s="131" t="s">
        <v>85</v>
      </c>
      <c r="T60" s="98">
        <v>1049.6099999999999</v>
      </c>
      <c r="U60" s="395" t="s">
        <v>645</v>
      </c>
      <c r="V60" s="89" t="s">
        <v>618</v>
      </c>
      <c r="W60" s="89" t="s">
        <v>826</v>
      </c>
      <c r="X60" s="89" t="s">
        <v>827</v>
      </c>
    </row>
    <row r="61" spans="1:24" s="32" customFormat="1" ht="89.1" customHeight="1">
      <c r="A61" s="90" t="s">
        <v>230</v>
      </c>
      <c r="B61" s="88">
        <v>43635</v>
      </c>
      <c r="C61" s="89" t="s">
        <v>905</v>
      </c>
      <c r="D61" s="91"/>
      <c r="E61" s="392" t="s">
        <v>670</v>
      </c>
      <c r="F61" s="393" t="s">
        <v>906</v>
      </c>
      <c r="G61" s="93">
        <f t="shared" si="0"/>
        <v>2869824.48</v>
      </c>
      <c r="H61" s="182">
        <v>2869824.48</v>
      </c>
      <c r="I61" s="93">
        <f t="shared" si="1"/>
        <v>860947.34</v>
      </c>
      <c r="J61" s="93">
        <v>860947.34</v>
      </c>
      <c r="K61" s="93">
        <v>0</v>
      </c>
      <c r="L61" s="394">
        <v>0</v>
      </c>
      <c r="M61" s="180">
        <f t="shared" si="2"/>
        <v>2008877.1400000001</v>
      </c>
      <c r="N61" s="180">
        <v>0</v>
      </c>
      <c r="O61" s="180">
        <f t="shared" si="3"/>
        <v>860947.34</v>
      </c>
      <c r="P61" s="96" t="s">
        <v>359</v>
      </c>
      <c r="Q61" s="319">
        <f t="shared" si="4"/>
        <v>0.29999999860618654</v>
      </c>
      <c r="R61" s="319">
        <v>0.25</v>
      </c>
      <c r="S61" s="131" t="s">
        <v>531</v>
      </c>
      <c r="T61" s="98">
        <v>40</v>
      </c>
      <c r="U61" s="395" t="s">
        <v>296</v>
      </c>
      <c r="V61" s="89" t="s">
        <v>618</v>
      </c>
      <c r="W61" s="89" t="s">
        <v>828</v>
      </c>
      <c r="X61" s="89" t="s">
        <v>829</v>
      </c>
    </row>
    <row r="62" spans="1:24" s="32" customFormat="1" ht="89.1" customHeight="1">
      <c r="A62" s="90" t="s">
        <v>230</v>
      </c>
      <c r="B62" s="88">
        <v>43635</v>
      </c>
      <c r="C62" s="89" t="s">
        <v>907</v>
      </c>
      <c r="D62" s="91"/>
      <c r="E62" s="392" t="s">
        <v>671</v>
      </c>
      <c r="F62" s="393" t="s">
        <v>908</v>
      </c>
      <c r="G62" s="93">
        <f t="shared" si="0"/>
        <v>2671199.41</v>
      </c>
      <c r="H62" s="182">
        <v>2671199.41</v>
      </c>
      <c r="I62" s="93">
        <f t="shared" si="1"/>
        <v>1889974.25</v>
      </c>
      <c r="J62" s="93">
        <f>801359.82+555124.14+533490.29</f>
        <v>1889974.25</v>
      </c>
      <c r="K62" s="93">
        <v>0</v>
      </c>
      <c r="L62" s="394">
        <v>0</v>
      </c>
      <c r="M62" s="180">
        <f t="shared" si="2"/>
        <v>781225.16000000015</v>
      </c>
      <c r="N62" s="180">
        <v>0</v>
      </c>
      <c r="O62" s="180">
        <f t="shared" si="3"/>
        <v>1889974.25</v>
      </c>
      <c r="P62" s="96" t="s">
        <v>359</v>
      </c>
      <c r="Q62" s="319">
        <f t="shared" si="4"/>
        <v>0.70753768622612867</v>
      </c>
      <c r="R62" s="319">
        <v>0.68</v>
      </c>
      <c r="S62" s="131" t="s">
        <v>531</v>
      </c>
      <c r="T62" s="98">
        <v>37</v>
      </c>
      <c r="U62" s="395" t="s">
        <v>245</v>
      </c>
      <c r="V62" s="89" t="s">
        <v>618</v>
      </c>
      <c r="W62" s="89" t="s">
        <v>830</v>
      </c>
      <c r="X62" s="89" t="s">
        <v>831</v>
      </c>
    </row>
    <row r="63" spans="1:24" s="32" customFormat="1" ht="89.1" customHeight="1">
      <c r="A63" s="90" t="s">
        <v>230</v>
      </c>
      <c r="B63" s="88">
        <v>43635</v>
      </c>
      <c r="C63" s="89" t="s">
        <v>909</v>
      </c>
      <c r="D63" s="91"/>
      <c r="E63" s="392" t="s">
        <v>672</v>
      </c>
      <c r="F63" s="393" t="s">
        <v>910</v>
      </c>
      <c r="G63" s="93">
        <f t="shared" si="0"/>
        <v>2228490.6800000002</v>
      </c>
      <c r="H63" s="182">
        <v>2228490.6800000002</v>
      </c>
      <c r="I63" s="93">
        <f t="shared" si="1"/>
        <v>1444773.85</v>
      </c>
      <c r="J63" s="93">
        <f>668547.2+332522.78+443703.87</f>
        <v>1444773.85</v>
      </c>
      <c r="K63" s="93">
        <v>0</v>
      </c>
      <c r="L63" s="394">
        <v>0</v>
      </c>
      <c r="M63" s="180">
        <f t="shared" si="2"/>
        <v>783716.83000000007</v>
      </c>
      <c r="N63" s="180">
        <v>0</v>
      </c>
      <c r="O63" s="180">
        <f t="shared" si="3"/>
        <v>1444773.85</v>
      </c>
      <c r="P63" s="96" t="s">
        <v>359</v>
      </c>
      <c r="Q63" s="319">
        <f t="shared" si="4"/>
        <v>0.64831944910803929</v>
      </c>
      <c r="R63" s="319">
        <v>0.55000000000000004</v>
      </c>
      <c r="S63" s="131" t="s">
        <v>531</v>
      </c>
      <c r="T63" s="98">
        <v>31</v>
      </c>
      <c r="U63" s="395" t="s">
        <v>248</v>
      </c>
      <c r="V63" s="89" t="s">
        <v>618</v>
      </c>
      <c r="W63" s="89" t="s">
        <v>832</v>
      </c>
      <c r="X63" s="89" t="s">
        <v>833</v>
      </c>
    </row>
    <row r="64" spans="1:24" s="32" customFormat="1" ht="89.1" customHeight="1">
      <c r="A64" s="90" t="s">
        <v>230</v>
      </c>
      <c r="B64" s="88">
        <v>43635</v>
      </c>
      <c r="C64" s="89" t="s">
        <v>911</v>
      </c>
      <c r="D64" s="91"/>
      <c r="E64" s="392" t="s">
        <v>673</v>
      </c>
      <c r="F64" s="393" t="s">
        <v>912</v>
      </c>
      <c r="G64" s="93">
        <f t="shared" si="0"/>
        <v>2077988.06</v>
      </c>
      <c r="H64" s="182">
        <v>2077988.06</v>
      </c>
      <c r="I64" s="93">
        <f t="shared" si="1"/>
        <v>1620606.76</v>
      </c>
      <c r="J64" s="93">
        <f>623396.42+499940.91+497269.43</f>
        <v>1620606.76</v>
      </c>
      <c r="K64" s="93">
        <v>0</v>
      </c>
      <c r="L64" s="394">
        <v>0</v>
      </c>
      <c r="M64" s="180">
        <f t="shared" si="2"/>
        <v>457381.30000000005</v>
      </c>
      <c r="N64" s="180">
        <v>0</v>
      </c>
      <c r="O64" s="180">
        <f t="shared" si="3"/>
        <v>1620606.76</v>
      </c>
      <c r="P64" s="96" t="s">
        <v>359</v>
      </c>
      <c r="Q64" s="319">
        <f t="shared" si="4"/>
        <v>0.77989223864934043</v>
      </c>
      <c r="R64" s="319">
        <v>0.5</v>
      </c>
      <c r="S64" s="131" t="s">
        <v>531</v>
      </c>
      <c r="T64" s="98">
        <v>29</v>
      </c>
      <c r="U64" s="395" t="s">
        <v>132</v>
      </c>
      <c r="V64" s="89" t="s">
        <v>618</v>
      </c>
      <c r="W64" s="89" t="s">
        <v>834</v>
      </c>
      <c r="X64" s="89" t="s">
        <v>835</v>
      </c>
    </row>
    <row r="65" spans="1:24" s="32" customFormat="1" ht="89.1" customHeight="1">
      <c r="A65" s="90" t="s">
        <v>230</v>
      </c>
      <c r="B65" s="88">
        <v>43635</v>
      </c>
      <c r="C65" s="89" t="s">
        <v>913</v>
      </c>
      <c r="D65" s="91"/>
      <c r="E65" s="392" t="s">
        <v>674</v>
      </c>
      <c r="F65" s="393" t="s">
        <v>914</v>
      </c>
      <c r="G65" s="93">
        <f t="shared" si="0"/>
        <v>2818522.19</v>
      </c>
      <c r="H65" s="182">
        <v>2818522.19</v>
      </c>
      <c r="I65" s="93">
        <f t="shared" si="1"/>
        <v>1460343.42</v>
      </c>
      <c r="J65" s="93">
        <f>845556.66+614786.76</f>
        <v>1460343.42</v>
      </c>
      <c r="K65" s="93">
        <v>0</v>
      </c>
      <c r="L65" s="394">
        <v>0</v>
      </c>
      <c r="M65" s="180">
        <f t="shared" si="2"/>
        <v>1358178.77</v>
      </c>
      <c r="N65" s="180">
        <v>0</v>
      </c>
      <c r="O65" s="180">
        <f t="shared" si="3"/>
        <v>1460343.42</v>
      </c>
      <c r="P65" s="96" t="s">
        <v>359</v>
      </c>
      <c r="Q65" s="319">
        <f t="shared" si="4"/>
        <v>0.51812379735069602</v>
      </c>
      <c r="R65" s="319">
        <v>0.48</v>
      </c>
      <c r="S65" s="131" t="s">
        <v>531</v>
      </c>
      <c r="T65" s="98">
        <v>39</v>
      </c>
      <c r="U65" s="395" t="s">
        <v>532</v>
      </c>
      <c r="V65" s="89" t="s">
        <v>618</v>
      </c>
      <c r="W65" s="89" t="s">
        <v>836</v>
      </c>
      <c r="X65" s="89" t="s">
        <v>837</v>
      </c>
    </row>
    <row r="66" spans="1:24" s="32" customFormat="1" ht="89.1" customHeight="1">
      <c r="A66" s="90" t="s">
        <v>230</v>
      </c>
      <c r="B66" s="88">
        <v>43635</v>
      </c>
      <c r="C66" s="89" t="s">
        <v>915</v>
      </c>
      <c r="D66" s="91"/>
      <c r="E66" s="392" t="s">
        <v>675</v>
      </c>
      <c r="F66" s="393" t="s">
        <v>916</v>
      </c>
      <c r="G66" s="93">
        <f t="shared" si="0"/>
        <v>1928099.39</v>
      </c>
      <c r="H66" s="182">
        <v>1928099.39</v>
      </c>
      <c r="I66" s="93">
        <f t="shared" si="1"/>
        <v>578429.81999999995</v>
      </c>
      <c r="J66" s="93">
        <v>578429.81999999995</v>
      </c>
      <c r="K66" s="93">
        <v>0</v>
      </c>
      <c r="L66" s="394">
        <v>0</v>
      </c>
      <c r="M66" s="180">
        <f t="shared" si="2"/>
        <v>1349669.5699999998</v>
      </c>
      <c r="N66" s="180">
        <v>0</v>
      </c>
      <c r="O66" s="180">
        <f t="shared" si="3"/>
        <v>578429.81999999995</v>
      </c>
      <c r="P66" s="96" t="s">
        <v>359</v>
      </c>
      <c r="Q66" s="319">
        <f t="shared" si="4"/>
        <v>0.30000000155593637</v>
      </c>
      <c r="R66" s="319">
        <v>0.5</v>
      </c>
      <c r="S66" s="131" t="s">
        <v>531</v>
      </c>
      <c r="T66" s="98">
        <v>27</v>
      </c>
      <c r="U66" s="395" t="s">
        <v>126</v>
      </c>
      <c r="V66" s="89" t="s">
        <v>618</v>
      </c>
      <c r="W66" s="89" t="s">
        <v>838</v>
      </c>
      <c r="X66" s="89" t="s">
        <v>839</v>
      </c>
    </row>
    <row r="67" spans="1:24" s="32" customFormat="1" ht="89.1" customHeight="1">
      <c r="A67" s="90" t="s">
        <v>230</v>
      </c>
      <c r="B67" s="88">
        <v>43635</v>
      </c>
      <c r="C67" s="89" t="s">
        <v>917</v>
      </c>
      <c r="D67" s="91"/>
      <c r="E67" s="392" t="s">
        <v>676</v>
      </c>
      <c r="F67" s="393" t="s">
        <v>918</v>
      </c>
      <c r="G67" s="93">
        <f t="shared" si="0"/>
        <v>2370156.81</v>
      </c>
      <c r="H67" s="182">
        <v>2370156.81</v>
      </c>
      <c r="I67" s="93">
        <f t="shared" si="1"/>
        <v>1042279.23</v>
      </c>
      <c r="J67" s="93">
        <f>711047.04+331232.19</f>
        <v>1042279.23</v>
      </c>
      <c r="K67" s="93">
        <v>0</v>
      </c>
      <c r="L67" s="394">
        <v>0</v>
      </c>
      <c r="M67" s="180">
        <f t="shared" si="2"/>
        <v>1327877.58</v>
      </c>
      <c r="N67" s="180">
        <v>0</v>
      </c>
      <c r="O67" s="180">
        <f t="shared" si="3"/>
        <v>1042279.23</v>
      </c>
      <c r="P67" s="96" t="s">
        <v>359</v>
      </c>
      <c r="Q67" s="319">
        <f t="shared" si="4"/>
        <v>0.43975116988145607</v>
      </c>
      <c r="R67" s="319">
        <v>0.5</v>
      </c>
      <c r="S67" s="131" t="s">
        <v>531</v>
      </c>
      <c r="T67" s="98">
        <v>33</v>
      </c>
      <c r="U67" s="395" t="s">
        <v>138</v>
      </c>
      <c r="V67" s="89" t="s">
        <v>618</v>
      </c>
      <c r="W67" s="89" t="s">
        <v>576</v>
      </c>
      <c r="X67" s="89" t="s">
        <v>840</v>
      </c>
    </row>
    <row r="68" spans="1:24" s="32" customFormat="1" ht="89.1" customHeight="1">
      <c r="A68" s="90" t="s">
        <v>230</v>
      </c>
      <c r="B68" s="88">
        <v>43635</v>
      </c>
      <c r="C68" s="89" t="s">
        <v>677</v>
      </c>
      <c r="D68" s="91"/>
      <c r="E68" s="392" t="s">
        <v>678</v>
      </c>
      <c r="F68" s="393" t="s">
        <v>679</v>
      </c>
      <c r="G68" s="93">
        <f t="shared" si="0"/>
        <v>1170802.3</v>
      </c>
      <c r="H68" s="182">
        <v>1170802.3</v>
      </c>
      <c r="I68" s="93">
        <f t="shared" si="1"/>
        <v>0</v>
      </c>
      <c r="J68" s="93">
        <v>0</v>
      </c>
      <c r="K68" s="93">
        <v>0</v>
      </c>
      <c r="L68" s="394">
        <v>0</v>
      </c>
      <c r="M68" s="180">
        <f t="shared" si="2"/>
        <v>1170802.3</v>
      </c>
      <c r="N68" s="180">
        <v>0</v>
      </c>
      <c r="O68" s="180">
        <f t="shared" si="3"/>
        <v>0</v>
      </c>
      <c r="P68" s="96" t="s">
        <v>359</v>
      </c>
      <c r="Q68" s="319">
        <f t="shared" si="4"/>
        <v>0</v>
      </c>
      <c r="R68" s="319">
        <v>0</v>
      </c>
      <c r="S68" s="131" t="s">
        <v>531</v>
      </c>
      <c r="T68" s="98">
        <v>16</v>
      </c>
      <c r="U68" s="395" t="s">
        <v>104</v>
      </c>
      <c r="V68" s="260">
        <v>0</v>
      </c>
      <c r="W68" s="260">
        <v>0</v>
      </c>
      <c r="X68" s="260">
        <v>0</v>
      </c>
    </row>
    <row r="69" spans="1:24" s="32" customFormat="1" ht="89.1" customHeight="1">
      <c r="A69" s="90" t="s">
        <v>230</v>
      </c>
      <c r="B69" s="88">
        <v>43635</v>
      </c>
      <c r="C69" s="89" t="s">
        <v>919</v>
      </c>
      <c r="D69" s="91"/>
      <c r="E69" s="392" t="s">
        <v>680</v>
      </c>
      <c r="F69" s="393" t="s">
        <v>920</v>
      </c>
      <c r="G69" s="93">
        <f t="shared" si="0"/>
        <v>2597608.58</v>
      </c>
      <c r="H69" s="182">
        <v>2597608.58</v>
      </c>
      <c r="I69" s="93">
        <f t="shared" si="1"/>
        <v>1938794.81</v>
      </c>
      <c r="J69" s="93">
        <f>779282.57+838465.63+321046.61</f>
        <v>1938794.81</v>
      </c>
      <c r="K69" s="93">
        <v>0</v>
      </c>
      <c r="L69" s="394">
        <v>0</v>
      </c>
      <c r="M69" s="180">
        <f t="shared" si="2"/>
        <v>658813.77</v>
      </c>
      <c r="N69" s="180">
        <v>0</v>
      </c>
      <c r="O69" s="180">
        <f t="shared" si="3"/>
        <v>1938794.81</v>
      </c>
      <c r="P69" s="96" t="s">
        <v>359</v>
      </c>
      <c r="Q69" s="319">
        <f t="shared" si="4"/>
        <v>0.74637681170578829</v>
      </c>
      <c r="R69" s="319">
        <v>0.7</v>
      </c>
      <c r="S69" s="131" t="s">
        <v>531</v>
      </c>
      <c r="T69" s="98">
        <v>69</v>
      </c>
      <c r="U69" s="395" t="s">
        <v>681</v>
      </c>
      <c r="V69" s="89" t="s">
        <v>618</v>
      </c>
      <c r="W69" s="89" t="s">
        <v>582</v>
      </c>
      <c r="X69" s="89" t="s">
        <v>841</v>
      </c>
    </row>
    <row r="70" spans="1:24" s="32" customFormat="1" ht="89.1" customHeight="1">
      <c r="A70" s="90" t="s">
        <v>230</v>
      </c>
      <c r="B70" s="88">
        <v>43635</v>
      </c>
      <c r="C70" s="89" t="s">
        <v>921</v>
      </c>
      <c r="D70" s="91"/>
      <c r="E70" s="392" t="s">
        <v>682</v>
      </c>
      <c r="F70" s="393" t="s">
        <v>922</v>
      </c>
      <c r="G70" s="93">
        <f t="shared" si="0"/>
        <v>1410100.54</v>
      </c>
      <c r="H70" s="182">
        <v>1410100.54</v>
      </c>
      <c r="I70" s="93">
        <f t="shared" si="1"/>
        <v>1252190.22</v>
      </c>
      <c r="J70" s="93">
        <f>423030.16+403887.02+425273.04</f>
        <v>1252190.22</v>
      </c>
      <c r="K70" s="93">
        <v>0</v>
      </c>
      <c r="L70" s="394">
        <v>0</v>
      </c>
      <c r="M70" s="180">
        <f t="shared" si="2"/>
        <v>157910.32000000007</v>
      </c>
      <c r="N70" s="180">
        <v>0</v>
      </c>
      <c r="O70" s="180">
        <f t="shared" si="3"/>
        <v>1252190.22</v>
      </c>
      <c r="P70" s="96" t="s">
        <v>359</v>
      </c>
      <c r="Q70" s="319">
        <f t="shared" si="4"/>
        <v>0.88801485034535188</v>
      </c>
      <c r="R70" s="319">
        <v>0.85</v>
      </c>
      <c r="S70" s="131" t="s">
        <v>531</v>
      </c>
      <c r="T70" s="98">
        <v>30</v>
      </c>
      <c r="U70" s="395" t="s">
        <v>135</v>
      </c>
      <c r="V70" s="89" t="s">
        <v>618</v>
      </c>
      <c r="W70" s="89" t="s">
        <v>842</v>
      </c>
      <c r="X70" s="89" t="s">
        <v>843</v>
      </c>
    </row>
    <row r="71" spans="1:24" s="32" customFormat="1" ht="89.1" customHeight="1">
      <c r="A71" s="90" t="s">
        <v>230</v>
      </c>
      <c r="B71" s="88">
        <v>43655</v>
      </c>
      <c r="C71" s="89" t="s">
        <v>923</v>
      </c>
      <c r="D71" s="91"/>
      <c r="E71" s="392" t="s">
        <v>775</v>
      </c>
      <c r="F71" s="393" t="s">
        <v>924</v>
      </c>
      <c r="G71" s="93">
        <f t="shared" si="0"/>
        <v>2239804.0699999998</v>
      </c>
      <c r="H71" s="182">
        <v>2239804.0699999998</v>
      </c>
      <c r="I71" s="93">
        <f t="shared" si="1"/>
        <v>671941.22</v>
      </c>
      <c r="J71" s="93">
        <v>671941.22</v>
      </c>
      <c r="K71" s="93">
        <v>0</v>
      </c>
      <c r="L71" s="394">
        <v>0</v>
      </c>
      <c r="M71" s="180">
        <f t="shared" si="2"/>
        <v>1567862.8499999999</v>
      </c>
      <c r="N71" s="180">
        <v>0</v>
      </c>
      <c r="O71" s="180">
        <f t="shared" si="3"/>
        <v>671941.22</v>
      </c>
      <c r="P71" s="96" t="s">
        <v>359</v>
      </c>
      <c r="Q71" s="319">
        <f t="shared" si="4"/>
        <v>0.2999999995535324</v>
      </c>
      <c r="R71" s="319">
        <v>0.35</v>
      </c>
      <c r="S71" s="131" t="s">
        <v>531</v>
      </c>
      <c r="T71" s="98">
        <v>32</v>
      </c>
      <c r="U71" s="395" t="s">
        <v>232</v>
      </c>
      <c r="V71" s="89" t="s">
        <v>618</v>
      </c>
      <c r="W71" s="89" t="s">
        <v>612</v>
      </c>
      <c r="X71" s="89" t="s">
        <v>844</v>
      </c>
    </row>
    <row r="72" spans="1:24" s="32" customFormat="1" ht="89.1" customHeight="1">
      <c r="A72" s="90" t="s">
        <v>230</v>
      </c>
      <c r="B72" s="88">
        <v>43655</v>
      </c>
      <c r="C72" s="89" t="s">
        <v>925</v>
      </c>
      <c r="D72" s="91"/>
      <c r="E72" s="392" t="s">
        <v>776</v>
      </c>
      <c r="F72" s="393" t="s">
        <v>926</v>
      </c>
      <c r="G72" s="93">
        <f t="shared" si="0"/>
        <v>2021034.84</v>
      </c>
      <c r="H72" s="182">
        <v>2021034.84</v>
      </c>
      <c r="I72" s="93">
        <f t="shared" si="1"/>
        <v>1352993.8499999999</v>
      </c>
      <c r="J72" s="93">
        <f>606310.45+301793.46+444889.94</f>
        <v>1352993.8499999999</v>
      </c>
      <c r="K72" s="93">
        <v>0</v>
      </c>
      <c r="L72" s="394">
        <v>0</v>
      </c>
      <c r="M72" s="180">
        <f t="shared" si="2"/>
        <v>668040.99000000022</v>
      </c>
      <c r="N72" s="180">
        <v>0</v>
      </c>
      <c r="O72" s="180">
        <f t="shared" si="3"/>
        <v>1352993.8499999999</v>
      </c>
      <c r="P72" s="96" t="s">
        <v>359</v>
      </c>
      <c r="Q72" s="319">
        <f t="shared" si="4"/>
        <v>0.66945597533588275</v>
      </c>
      <c r="R72" s="319">
        <v>0.55000000000000004</v>
      </c>
      <c r="S72" s="131" t="s">
        <v>531</v>
      </c>
      <c r="T72" s="98">
        <v>29</v>
      </c>
      <c r="U72" s="395" t="s">
        <v>132</v>
      </c>
      <c r="V72" s="89" t="s">
        <v>618</v>
      </c>
      <c r="W72" s="89" t="s">
        <v>228</v>
      </c>
      <c r="X72" s="89" t="s">
        <v>845</v>
      </c>
    </row>
    <row r="73" spans="1:24" s="32" customFormat="1" ht="89.1" customHeight="1">
      <c r="A73" s="90" t="s">
        <v>230</v>
      </c>
      <c r="B73" s="88">
        <v>43655</v>
      </c>
      <c r="C73" s="89" t="s">
        <v>927</v>
      </c>
      <c r="D73" s="91"/>
      <c r="E73" s="392" t="s">
        <v>777</v>
      </c>
      <c r="F73" s="393" t="s">
        <v>928</v>
      </c>
      <c r="G73" s="93">
        <f t="shared" si="0"/>
        <v>2159686.19</v>
      </c>
      <c r="H73" s="182">
        <v>2159686.19</v>
      </c>
      <c r="I73" s="93">
        <f t="shared" si="1"/>
        <v>647905.86</v>
      </c>
      <c r="J73" s="93">
        <v>647905.86</v>
      </c>
      <c r="K73" s="93">
        <v>0</v>
      </c>
      <c r="L73" s="394">
        <v>0</v>
      </c>
      <c r="M73" s="180">
        <f t="shared" si="2"/>
        <v>1511780.33</v>
      </c>
      <c r="N73" s="180">
        <v>0</v>
      </c>
      <c r="O73" s="180">
        <f t="shared" si="3"/>
        <v>647905.86</v>
      </c>
      <c r="P73" s="96" t="s">
        <v>359</v>
      </c>
      <c r="Q73" s="319">
        <f t="shared" si="4"/>
        <v>0.30000000138909072</v>
      </c>
      <c r="R73" s="319">
        <v>0.15</v>
      </c>
      <c r="S73" s="131" t="s">
        <v>531</v>
      </c>
      <c r="T73" s="98">
        <v>31</v>
      </c>
      <c r="U73" s="395" t="s">
        <v>248</v>
      </c>
      <c r="V73" s="89" t="s">
        <v>618</v>
      </c>
      <c r="W73" s="89" t="s">
        <v>846</v>
      </c>
      <c r="X73" s="89" t="s">
        <v>847</v>
      </c>
    </row>
    <row r="74" spans="1:24" s="32" customFormat="1" ht="89.1" customHeight="1">
      <c r="A74" s="90" t="s">
        <v>230</v>
      </c>
      <c r="B74" s="88">
        <v>43655</v>
      </c>
      <c r="C74" s="89" t="s">
        <v>929</v>
      </c>
      <c r="D74" s="91"/>
      <c r="E74" s="392" t="s">
        <v>778</v>
      </c>
      <c r="F74" s="393" t="s">
        <v>930</v>
      </c>
      <c r="G74" s="93">
        <f t="shared" si="0"/>
        <v>839092.66</v>
      </c>
      <c r="H74" s="182">
        <v>839092.66</v>
      </c>
      <c r="I74" s="93">
        <f t="shared" si="1"/>
        <v>251727.8</v>
      </c>
      <c r="J74" s="93">
        <v>251727.8</v>
      </c>
      <c r="K74" s="93">
        <v>0</v>
      </c>
      <c r="L74" s="394">
        <v>0</v>
      </c>
      <c r="M74" s="180">
        <f t="shared" si="2"/>
        <v>587364.8600000001</v>
      </c>
      <c r="N74" s="180">
        <v>0</v>
      </c>
      <c r="O74" s="180">
        <f t="shared" si="3"/>
        <v>251727.8</v>
      </c>
      <c r="P74" s="96" t="s">
        <v>359</v>
      </c>
      <c r="Q74" s="319">
        <f t="shared" si="4"/>
        <v>0.30000000238352698</v>
      </c>
      <c r="R74" s="319">
        <v>0.4</v>
      </c>
      <c r="S74" s="131" t="s">
        <v>531</v>
      </c>
      <c r="T74" s="98">
        <v>12</v>
      </c>
      <c r="U74" s="395" t="s">
        <v>100</v>
      </c>
      <c r="V74" s="89" t="s">
        <v>609</v>
      </c>
      <c r="W74" s="89" t="s">
        <v>848</v>
      </c>
      <c r="X74" s="89" t="s">
        <v>849</v>
      </c>
    </row>
    <row r="75" spans="1:24" s="32" customFormat="1" ht="89.1" customHeight="1">
      <c r="A75" s="90" t="s">
        <v>230</v>
      </c>
      <c r="B75" s="88">
        <v>43655</v>
      </c>
      <c r="C75" s="89" t="s">
        <v>931</v>
      </c>
      <c r="D75" s="91"/>
      <c r="E75" s="392" t="s">
        <v>779</v>
      </c>
      <c r="F75" s="393" t="s">
        <v>932</v>
      </c>
      <c r="G75" s="93">
        <f t="shared" si="0"/>
        <v>1530528.65</v>
      </c>
      <c r="H75" s="182">
        <v>1530528.65</v>
      </c>
      <c r="I75" s="93">
        <f t="shared" si="1"/>
        <v>459158.6</v>
      </c>
      <c r="J75" s="93">
        <v>459158.6</v>
      </c>
      <c r="K75" s="93">
        <v>0</v>
      </c>
      <c r="L75" s="394">
        <v>0</v>
      </c>
      <c r="M75" s="180">
        <f t="shared" si="2"/>
        <v>1071370.0499999998</v>
      </c>
      <c r="N75" s="180">
        <v>0</v>
      </c>
      <c r="O75" s="180">
        <f t="shared" si="3"/>
        <v>459158.6</v>
      </c>
      <c r="P75" s="96" t="s">
        <v>359</v>
      </c>
      <c r="Q75" s="319">
        <f t="shared" si="4"/>
        <v>0.30000000326684512</v>
      </c>
      <c r="R75" s="319">
        <v>0.65</v>
      </c>
      <c r="S75" s="131" t="s">
        <v>531</v>
      </c>
      <c r="T75" s="98">
        <v>22</v>
      </c>
      <c r="U75" s="395" t="s">
        <v>117</v>
      </c>
      <c r="V75" s="89" t="s">
        <v>618</v>
      </c>
      <c r="W75" s="89" t="s">
        <v>628</v>
      </c>
      <c r="X75" s="89" t="s">
        <v>850</v>
      </c>
    </row>
    <row r="76" spans="1:24" s="32" customFormat="1" ht="89.1" customHeight="1">
      <c r="A76" s="90" t="s">
        <v>230</v>
      </c>
      <c r="B76" s="88">
        <v>43655</v>
      </c>
      <c r="C76" s="89" t="s">
        <v>933</v>
      </c>
      <c r="D76" s="91"/>
      <c r="E76" s="392" t="s">
        <v>780</v>
      </c>
      <c r="F76" s="393" t="s">
        <v>934</v>
      </c>
      <c r="G76" s="93">
        <f t="shared" si="0"/>
        <v>1110630.08</v>
      </c>
      <c r="H76" s="182">
        <v>1110630.08</v>
      </c>
      <c r="I76" s="93">
        <f t="shared" si="1"/>
        <v>333189.02</v>
      </c>
      <c r="J76" s="93">
        <v>333189.02</v>
      </c>
      <c r="K76" s="93">
        <v>0</v>
      </c>
      <c r="L76" s="394">
        <v>0</v>
      </c>
      <c r="M76" s="180">
        <f t="shared" si="2"/>
        <v>777441.06</v>
      </c>
      <c r="N76" s="180">
        <v>0</v>
      </c>
      <c r="O76" s="180">
        <f t="shared" si="3"/>
        <v>333189.02</v>
      </c>
      <c r="P76" s="96" t="s">
        <v>359</v>
      </c>
      <c r="Q76" s="319">
        <f t="shared" si="4"/>
        <v>0.29999999639844077</v>
      </c>
      <c r="R76" s="319">
        <v>0.4</v>
      </c>
      <c r="S76" s="131" t="s">
        <v>531</v>
      </c>
      <c r="T76" s="98">
        <v>16</v>
      </c>
      <c r="U76" s="395" t="s">
        <v>104</v>
      </c>
      <c r="V76" s="89" t="s">
        <v>618</v>
      </c>
      <c r="W76" s="89" t="s">
        <v>851</v>
      </c>
      <c r="X76" s="89" t="s">
        <v>852</v>
      </c>
    </row>
    <row r="77" spans="1:24" s="32" customFormat="1" ht="89.1" customHeight="1">
      <c r="A77" s="90" t="s">
        <v>230</v>
      </c>
      <c r="B77" s="88">
        <v>43677</v>
      </c>
      <c r="C77" s="89" t="s">
        <v>935</v>
      </c>
      <c r="D77" s="91"/>
      <c r="E77" s="392" t="s">
        <v>781</v>
      </c>
      <c r="F77" s="393" t="s">
        <v>936</v>
      </c>
      <c r="G77" s="93">
        <f t="shared" si="0"/>
        <v>2158807.0699999998</v>
      </c>
      <c r="H77" s="182">
        <v>2158807.0699999998</v>
      </c>
      <c r="I77" s="93">
        <f t="shared" si="1"/>
        <v>647642.12</v>
      </c>
      <c r="J77" s="93">
        <v>647642.12</v>
      </c>
      <c r="K77" s="93">
        <v>0</v>
      </c>
      <c r="L77" s="394">
        <v>0</v>
      </c>
      <c r="M77" s="180">
        <f t="shared" si="2"/>
        <v>1511164.9499999997</v>
      </c>
      <c r="N77" s="180">
        <v>0</v>
      </c>
      <c r="O77" s="180">
        <f t="shared" si="3"/>
        <v>647642.12</v>
      </c>
      <c r="P77" s="96" t="s">
        <v>359</v>
      </c>
      <c r="Q77" s="319">
        <f t="shared" si="4"/>
        <v>0.29999999953678125</v>
      </c>
      <c r="R77" s="319">
        <v>0.5</v>
      </c>
      <c r="S77" s="131" t="s">
        <v>531</v>
      </c>
      <c r="T77" s="98">
        <v>30</v>
      </c>
      <c r="U77" s="395" t="s">
        <v>135</v>
      </c>
      <c r="V77" s="89" t="s">
        <v>618</v>
      </c>
      <c r="W77" s="89" t="s">
        <v>539</v>
      </c>
      <c r="X77" s="89" t="s">
        <v>937</v>
      </c>
    </row>
    <row r="78" spans="1:24" s="32" customFormat="1" ht="89.1" customHeight="1">
      <c r="A78" s="90" t="s">
        <v>230</v>
      </c>
      <c r="B78" s="88">
        <v>43677</v>
      </c>
      <c r="C78" s="89" t="s">
        <v>938</v>
      </c>
      <c r="D78" s="91"/>
      <c r="E78" s="392" t="s">
        <v>782</v>
      </c>
      <c r="F78" s="393" t="s">
        <v>939</v>
      </c>
      <c r="G78" s="93">
        <f t="shared" si="0"/>
        <v>2165264.2000000002</v>
      </c>
      <c r="H78" s="182">
        <v>2165264.2000000002</v>
      </c>
      <c r="I78" s="93">
        <f t="shared" si="1"/>
        <v>649579.26</v>
      </c>
      <c r="J78" s="93">
        <v>649579.26</v>
      </c>
      <c r="K78" s="93">
        <v>0</v>
      </c>
      <c r="L78" s="394">
        <v>0</v>
      </c>
      <c r="M78" s="180">
        <f t="shared" si="2"/>
        <v>1515684.9400000002</v>
      </c>
      <c r="N78" s="180">
        <v>0</v>
      </c>
      <c r="O78" s="180">
        <f t="shared" si="3"/>
        <v>649579.26</v>
      </c>
      <c r="P78" s="96" t="s">
        <v>359</v>
      </c>
      <c r="Q78" s="319">
        <f t="shared" si="4"/>
        <v>0.3</v>
      </c>
      <c r="R78" s="319">
        <v>0.5</v>
      </c>
      <c r="S78" s="131" t="s">
        <v>531</v>
      </c>
      <c r="T78" s="98">
        <v>30</v>
      </c>
      <c r="U78" s="395" t="s">
        <v>135</v>
      </c>
      <c r="V78" s="89" t="s">
        <v>618</v>
      </c>
      <c r="W78" s="89" t="s">
        <v>739</v>
      </c>
      <c r="X78" s="89" t="s">
        <v>940</v>
      </c>
    </row>
    <row r="79" spans="1:24" s="32" customFormat="1" ht="89.1" customHeight="1">
      <c r="A79" s="90" t="s">
        <v>230</v>
      </c>
      <c r="B79" s="88">
        <v>43685</v>
      </c>
      <c r="C79" s="89" t="s">
        <v>853</v>
      </c>
      <c r="D79" s="91"/>
      <c r="E79" s="392" t="s">
        <v>854</v>
      </c>
      <c r="F79" s="393" t="s">
        <v>855</v>
      </c>
      <c r="G79" s="93">
        <f t="shared" si="0"/>
        <v>1896329.36</v>
      </c>
      <c r="H79" s="182">
        <v>1896329.36</v>
      </c>
      <c r="I79" s="93">
        <f t="shared" si="1"/>
        <v>540768.41</v>
      </c>
      <c r="J79" s="93">
        <v>540768.41</v>
      </c>
      <c r="K79" s="93">
        <v>0</v>
      </c>
      <c r="L79" s="394">
        <v>0</v>
      </c>
      <c r="M79" s="180">
        <f t="shared" si="2"/>
        <v>1355560.9500000002</v>
      </c>
      <c r="N79" s="180">
        <v>0</v>
      </c>
      <c r="O79" s="180">
        <f t="shared" si="3"/>
        <v>540768.41</v>
      </c>
      <c r="P79" s="96" t="s">
        <v>359</v>
      </c>
      <c r="Q79" s="319">
        <f t="shared" si="4"/>
        <v>0.28516586907666713</v>
      </c>
      <c r="R79" s="319">
        <v>0.3</v>
      </c>
      <c r="S79" s="131" t="s">
        <v>32</v>
      </c>
      <c r="T79" s="98">
        <v>1</v>
      </c>
      <c r="U79" s="395" t="s">
        <v>856</v>
      </c>
      <c r="V79" s="89" t="s">
        <v>618</v>
      </c>
      <c r="W79" s="89" t="s">
        <v>941</v>
      </c>
      <c r="X79" s="89" t="s">
        <v>942</v>
      </c>
    </row>
    <row r="80" spans="1:24" s="32" customFormat="1" ht="89.1" customHeight="1">
      <c r="A80" s="90" t="s">
        <v>501</v>
      </c>
      <c r="B80" s="88">
        <v>43690</v>
      </c>
      <c r="C80" s="89" t="s">
        <v>857</v>
      </c>
      <c r="D80" s="91"/>
      <c r="E80" s="392" t="s">
        <v>858</v>
      </c>
      <c r="F80" s="393" t="s">
        <v>859</v>
      </c>
      <c r="G80" s="93">
        <f t="shared" si="0"/>
        <v>1450000</v>
      </c>
      <c r="H80" s="182">
        <v>1450000</v>
      </c>
      <c r="I80" s="93">
        <f t="shared" si="1"/>
        <v>428815.41</v>
      </c>
      <c r="J80" s="93">
        <v>428815.41</v>
      </c>
      <c r="K80" s="93">
        <v>0</v>
      </c>
      <c r="L80" s="394">
        <v>0</v>
      </c>
      <c r="M80" s="180">
        <f t="shared" si="2"/>
        <v>1021184.5900000001</v>
      </c>
      <c r="N80" s="180">
        <v>0</v>
      </c>
      <c r="O80" s="180">
        <f t="shared" si="3"/>
        <v>428815.41</v>
      </c>
      <c r="P80" s="96" t="s">
        <v>359</v>
      </c>
      <c r="Q80" s="319">
        <f t="shared" si="4"/>
        <v>0.29573476551724137</v>
      </c>
      <c r="R80" s="319">
        <v>0.02</v>
      </c>
      <c r="S80" s="131" t="s">
        <v>360</v>
      </c>
      <c r="T80" s="98">
        <v>336.7</v>
      </c>
      <c r="U80" s="395" t="s">
        <v>544</v>
      </c>
      <c r="V80" s="89" t="s">
        <v>618</v>
      </c>
      <c r="W80" s="89" t="s">
        <v>610</v>
      </c>
      <c r="X80" s="89" t="s">
        <v>943</v>
      </c>
    </row>
    <row r="81" spans="1:24" s="32" customFormat="1" ht="89.1" customHeight="1">
      <c r="A81" s="90" t="s">
        <v>501</v>
      </c>
      <c r="B81" s="88">
        <v>43690</v>
      </c>
      <c r="C81" s="89" t="s">
        <v>860</v>
      </c>
      <c r="D81" s="91"/>
      <c r="E81" s="392" t="s">
        <v>861</v>
      </c>
      <c r="F81" s="393" t="s">
        <v>862</v>
      </c>
      <c r="G81" s="93">
        <f t="shared" si="0"/>
        <v>498724.25</v>
      </c>
      <c r="H81" s="182">
        <v>498724.25</v>
      </c>
      <c r="I81" s="93">
        <f t="shared" si="1"/>
        <v>132168.74</v>
      </c>
      <c r="J81" s="93">
        <v>132168.74</v>
      </c>
      <c r="K81" s="93">
        <v>0</v>
      </c>
      <c r="L81" s="394">
        <v>0</v>
      </c>
      <c r="M81" s="180">
        <f t="shared" si="2"/>
        <v>366555.51</v>
      </c>
      <c r="N81" s="180">
        <v>0</v>
      </c>
      <c r="O81" s="180">
        <f t="shared" si="3"/>
        <v>132168.74</v>
      </c>
      <c r="P81" s="96" t="s">
        <v>359</v>
      </c>
      <c r="Q81" s="319">
        <f t="shared" si="4"/>
        <v>0.26501366235951029</v>
      </c>
      <c r="R81" s="319">
        <v>0.02</v>
      </c>
      <c r="S81" s="131" t="s">
        <v>360</v>
      </c>
      <c r="T81" s="98">
        <v>239.1</v>
      </c>
      <c r="U81" s="395" t="s">
        <v>788</v>
      </c>
      <c r="V81" s="89" t="s">
        <v>618</v>
      </c>
      <c r="W81" s="89" t="s">
        <v>756</v>
      </c>
      <c r="X81" s="89" t="s">
        <v>944</v>
      </c>
    </row>
    <row r="82" spans="1:24" s="32" customFormat="1" ht="89.1" customHeight="1">
      <c r="A82" s="90" t="s">
        <v>501</v>
      </c>
      <c r="B82" s="88">
        <v>43699</v>
      </c>
      <c r="C82" s="89" t="s">
        <v>863</v>
      </c>
      <c r="D82" s="91"/>
      <c r="E82" s="392" t="s">
        <v>864</v>
      </c>
      <c r="F82" s="393" t="s">
        <v>865</v>
      </c>
      <c r="G82" s="93">
        <f t="shared" si="0"/>
        <v>1401220.89</v>
      </c>
      <c r="H82" s="182">
        <v>1401220.89</v>
      </c>
      <c r="I82" s="93">
        <f t="shared" si="1"/>
        <v>358494.57</v>
      </c>
      <c r="J82" s="93">
        <v>358494.57</v>
      </c>
      <c r="K82" s="93">
        <v>0</v>
      </c>
      <c r="L82" s="394">
        <v>0</v>
      </c>
      <c r="M82" s="180">
        <f t="shared" si="2"/>
        <v>1042726.3199999998</v>
      </c>
      <c r="N82" s="180">
        <v>0</v>
      </c>
      <c r="O82" s="180">
        <f t="shared" si="3"/>
        <v>358494.57</v>
      </c>
      <c r="P82" s="96" t="s">
        <v>359</v>
      </c>
      <c r="Q82" s="319">
        <f t="shared" si="4"/>
        <v>0.2558444372036161</v>
      </c>
      <c r="R82" s="319">
        <v>0.05</v>
      </c>
      <c r="S82" s="131" t="s">
        <v>360</v>
      </c>
      <c r="T82" s="98">
        <v>485.3</v>
      </c>
      <c r="U82" s="395" t="s">
        <v>866</v>
      </c>
      <c r="V82" s="89" t="s">
        <v>618</v>
      </c>
      <c r="W82" s="89" t="s">
        <v>945</v>
      </c>
      <c r="X82" s="89" t="s">
        <v>946</v>
      </c>
    </row>
    <row r="83" spans="1:24" s="32" customFormat="1" ht="89.1" customHeight="1">
      <c r="A83" s="90" t="s">
        <v>230</v>
      </c>
      <c r="B83" s="88">
        <v>43733</v>
      </c>
      <c r="C83" s="89" t="s">
        <v>947</v>
      </c>
      <c r="D83" s="91"/>
      <c r="E83" s="392" t="s">
        <v>948</v>
      </c>
      <c r="F83" s="393" t="s">
        <v>949</v>
      </c>
      <c r="G83" s="93">
        <f t="shared" si="0"/>
        <v>128655.54</v>
      </c>
      <c r="H83" s="182">
        <v>128655.54</v>
      </c>
      <c r="I83" s="93">
        <f t="shared" si="1"/>
        <v>0</v>
      </c>
      <c r="J83" s="93">
        <v>0</v>
      </c>
      <c r="K83" s="93">
        <v>0</v>
      </c>
      <c r="L83" s="394">
        <v>0</v>
      </c>
      <c r="M83" s="180">
        <f t="shared" si="2"/>
        <v>128655.54</v>
      </c>
      <c r="N83" s="180">
        <v>0</v>
      </c>
      <c r="O83" s="180">
        <f t="shared" si="3"/>
        <v>0</v>
      </c>
      <c r="P83" s="96" t="s">
        <v>359</v>
      </c>
      <c r="Q83" s="319">
        <f t="shared" si="4"/>
        <v>0</v>
      </c>
      <c r="R83" s="319">
        <v>0</v>
      </c>
      <c r="S83" s="131" t="s">
        <v>32</v>
      </c>
      <c r="T83" s="98">
        <v>1</v>
      </c>
      <c r="U83" s="395" t="s">
        <v>856</v>
      </c>
      <c r="V83" s="260">
        <v>0</v>
      </c>
      <c r="W83" s="260">
        <v>0</v>
      </c>
      <c r="X83" s="260">
        <v>0</v>
      </c>
    </row>
    <row r="84" spans="1:24" s="32" customFormat="1" ht="89.1" customHeight="1">
      <c r="A84" s="90" t="s">
        <v>230</v>
      </c>
      <c r="B84" s="88">
        <v>43733</v>
      </c>
      <c r="C84" s="89" t="s">
        <v>950</v>
      </c>
      <c r="D84" s="91"/>
      <c r="E84" s="392" t="s">
        <v>951</v>
      </c>
      <c r="F84" s="393" t="s">
        <v>952</v>
      </c>
      <c r="G84" s="93">
        <f t="shared" si="0"/>
        <v>1524913.54</v>
      </c>
      <c r="H84" s="182">
        <v>1524913.54</v>
      </c>
      <c r="I84" s="93">
        <f t="shared" si="1"/>
        <v>0</v>
      </c>
      <c r="J84" s="93">
        <v>0</v>
      </c>
      <c r="K84" s="93">
        <v>0</v>
      </c>
      <c r="L84" s="394">
        <v>0</v>
      </c>
      <c r="M84" s="180">
        <f t="shared" si="2"/>
        <v>1524913.54</v>
      </c>
      <c r="N84" s="180">
        <v>0</v>
      </c>
      <c r="O84" s="180">
        <f t="shared" si="3"/>
        <v>0</v>
      </c>
      <c r="P84" s="96" t="s">
        <v>359</v>
      </c>
      <c r="Q84" s="319">
        <f t="shared" si="4"/>
        <v>0</v>
      </c>
      <c r="R84" s="319">
        <v>0</v>
      </c>
      <c r="S84" s="131" t="s">
        <v>32</v>
      </c>
      <c r="T84" s="98">
        <v>1</v>
      </c>
      <c r="U84" s="395" t="s">
        <v>953</v>
      </c>
      <c r="V84" s="260">
        <v>0</v>
      </c>
      <c r="W84" s="260">
        <v>0</v>
      </c>
      <c r="X84" s="260">
        <v>0</v>
      </c>
    </row>
    <row r="85" spans="1:24" s="32" customFormat="1" ht="89.1" customHeight="1">
      <c r="A85" s="90" t="s">
        <v>230</v>
      </c>
      <c r="B85" s="88">
        <v>43733</v>
      </c>
      <c r="C85" s="89" t="s">
        <v>954</v>
      </c>
      <c r="D85" s="91"/>
      <c r="E85" s="392" t="s">
        <v>955</v>
      </c>
      <c r="F85" s="393" t="s">
        <v>956</v>
      </c>
      <c r="G85" s="93">
        <f t="shared" si="0"/>
        <v>1049567.78</v>
      </c>
      <c r="H85" s="182">
        <v>1049567.78</v>
      </c>
      <c r="I85" s="93">
        <f t="shared" si="1"/>
        <v>0</v>
      </c>
      <c r="J85" s="93">
        <v>0</v>
      </c>
      <c r="K85" s="93">
        <v>0</v>
      </c>
      <c r="L85" s="394">
        <v>0</v>
      </c>
      <c r="M85" s="180">
        <f t="shared" si="2"/>
        <v>1049567.78</v>
      </c>
      <c r="N85" s="180">
        <v>0</v>
      </c>
      <c r="O85" s="180">
        <f t="shared" si="3"/>
        <v>0</v>
      </c>
      <c r="P85" s="96" t="s">
        <v>359</v>
      </c>
      <c r="Q85" s="319">
        <f t="shared" si="4"/>
        <v>0</v>
      </c>
      <c r="R85" s="319">
        <v>0</v>
      </c>
      <c r="S85" s="131" t="s">
        <v>32</v>
      </c>
      <c r="T85" s="98">
        <v>1</v>
      </c>
      <c r="U85" s="395" t="s">
        <v>957</v>
      </c>
      <c r="V85" s="260">
        <v>0</v>
      </c>
      <c r="W85" s="260">
        <v>0</v>
      </c>
      <c r="X85" s="260">
        <v>0</v>
      </c>
    </row>
    <row r="86" spans="1:24" s="32" customFormat="1" ht="89.1" customHeight="1">
      <c r="A86" s="90" t="s">
        <v>230</v>
      </c>
      <c r="B86" s="88">
        <v>43733</v>
      </c>
      <c r="C86" s="89" t="s">
        <v>958</v>
      </c>
      <c r="D86" s="91"/>
      <c r="E86" s="392" t="s">
        <v>959</v>
      </c>
      <c r="F86" s="393" t="s">
        <v>960</v>
      </c>
      <c r="G86" s="93">
        <f t="shared" si="0"/>
        <v>87764.06</v>
      </c>
      <c r="H86" s="182">
        <v>87764.06</v>
      </c>
      <c r="I86" s="93">
        <f t="shared" si="1"/>
        <v>0</v>
      </c>
      <c r="J86" s="93">
        <v>0</v>
      </c>
      <c r="K86" s="93">
        <v>0</v>
      </c>
      <c r="L86" s="394">
        <v>0</v>
      </c>
      <c r="M86" s="180">
        <f t="shared" si="2"/>
        <v>87764.06</v>
      </c>
      <c r="N86" s="180">
        <v>0</v>
      </c>
      <c r="O86" s="180">
        <f t="shared" si="3"/>
        <v>0</v>
      </c>
      <c r="P86" s="96" t="s">
        <v>359</v>
      </c>
      <c r="Q86" s="319">
        <f t="shared" si="4"/>
        <v>0</v>
      </c>
      <c r="R86" s="319">
        <v>0</v>
      </c>
      <c r="S86" s="131" t="s">
        <v>32</v>
      </c>
      <c r="T86" s="98">
        <v>1</v>
      </c>
      <c r="U86" s="395" t="s">
        <v>856</v>
      </c>
      <c r="V86" s="260">
        <v>0</v>
      </c>
      <c r="W86" s="260">
        <v>0</v>
      </c>
      <c r="X86" s="260">
        <v>0</v>
      </c>
    </row>
    <row r="87" spans="1:24" s="32" customFormat="1" ht="89.1" customHeight="1">
      <c r="A87" s="90" t="s">
        <v>230</v>
      </c>
      <c r="B87" s="88">
        <v>43733</v>
      </c>
      <c r="C87" s="89" t="s">
        <v>961</v>
      </c>
      <c r="D87" s="91"/>
      <c r="E87" s="392" t="s">
        <v>962</v>
      </c>
      <c r="F87" s="393" t="s">
        <v>963</v>
      </c>
      <c r="G87" s="93">
        <f t="shared" si="0"/>
        <v>392765.51</v>
      </c>
      <c r="H87" s="182">
        <v>392765.51</v>
      </c>
      <c r="I87" s="93">
        <f t="shared" si="1"/>
        <v>0</v>
      </c>
      <c r="J87" s="93">
        <v>0</v>
      </c>
      <c r="K87" s="93">
        <v>0</v>
      </c>
      <c r="L87" s="394">
        <v>0</v>
      </c>
      <c r="M87" s="180">
        <f t="shared" si="2"/>
        <v>392765.51</v>
      </c>
      <c r="N87" s="180">
        <v>0</v>
      </c>
      <c r="O87" s="180">
        <f t="shared" si="3"/>
        <v>0</v>
      </c>
      <c r="P87" s="96" t="s">
        <v>359</v>
      </c>
      <c r="Q87" s="319">
        <f t="shared" si="4"/>
        <v>0</v>
      </c>
      <c r="R87" s="319">
        <v>0</v>
      </c>
      <c r="S87" s="131" t="s">
        <v>32</v>
      </c>
      <c r="T87" s="98">
        <v>1</v>
      </c>
      <c r="U87" s="395" t="s">
        <v>403</v>
      </c>
      <c r="V87" s="260">
        <v>0</v>
      </c>
      <c r="W87" s="260">
        <v>0</v>
      </c>
      <c r="X87" s="260">
        <v>0</v>
      </c>
    </row>
    <row r="88" spans="1:24" s="32" customFormat="1" ht="89.1" customHeight="1">
      <c r="A88" s="90" t="s">
        <v>392</v>
      </c>
      <c r="B88" s="88">
        <v>43564</v>
      </c>
      <c r="C88" s="89" t="s">
        <v>393</v>
      </c>
      <c r="D88" s="91" t="s">
        <v>683</v>
      </c>
      <c r="E88" s="392" t="s">
        <v>394</v>
      </c>
      <c r="F88" s="393" t="s">
        <v>395</v>
      </c>
      <c r="G88" s="93">
        <f t="shared" si="0"/>
        <v>18016525.120000001</v>
      </c>
      <c r="H88" s="182">
        <v>18016525.120000001</v>
      </c>
      <c r="I88" s="93">
        <v>13505633.26</v>
      </c>
      <c r="J88" s="180">
        <f>8997558.84+2249389.71+9295+2249389.71</f>
        <v>13505633.260000002</v>
      </c>
      <c r="K88" s="93">
        <v>0</v>
      </c>
      <c r="L88" s="394">
        <v>0</v>
      </c>
      <c r="M88" s="180">
        <f t="shared" si="2"/>
        <v>4510891.8600000013</v>
      </c>
      <c r="N88" s="180">
        <v>0</v>
      </c>
      <c r="O88" s="180">
        <f t="shared" si="3"/>
        <v>13505633.26</v>
      </c>
      <c r="P88" s="96" t="s">
        <v>359</v>
      </c>
      <c r="Q88" s="319">
        <f t="shared" si="4"/>
        <v>0.74962475671890272</v>
      </c>
      <c r="R88" s="319">
        <v>0</v>
      </c>
      <c r="S88" s="131" t="s">
        <v>396</v>
      </c>
      <c r="T88" s="98">
        <v>1937</v>
      </c>
      <c r="U88" s="395" t="s">
        <v>397</v>
      </c>
      <c r="V88" s="89" t="s">
        <v>684</v>
      </c>
      <c r="W88" s="89" t="s">
        <v>457</v>
      </c>
      <c r="X88" s="89" t="s">
        <v>685</v>
      </c>
    </row>
    <row r="89" spans="1:24" s="32" customFormat="1" ht="89.1" customHeight="1">
      <c r="A89" s="90" t="s">
        <v>357</v>
      </c>
      <c r="B89" s="88">
        <v>43557</v>
      </c>
      <c r="C89" s="89" t="s">
        <v>964</v>
      </c>
      <c r="D89" s="91" t="s">
        <v>683</v>
      </c>
      <c r="E89" s="392" t="s">
        <v>398</v>
      </c>
      <c r="F89" s="393" t="s">
        <v>965</v>
      </c>
      <c r="G89" s="93">
        <f t="shared" si="0"/>
        <v>903306.27</v>
      </c>
      <c r="H89" s="182">
        <v>903306.27</v>
      </c>
      <c r="I89" s="93">
        <f t="shared" si="1"/>
        <v>792003.12000000011</v>
      </c>
      <c r="J89" s="180">
        <f>207951.75+111303.16+111303.16+127034.27+111303.16+111303.16+11804.46</f>
        <v>792003.12000000011</v>
      </c>
      <c r="K89" s="93">
        <v>0</v>
      </c>
      <c r="L89" s="394">
        <v>0</v>
      </c>
      <c r="M89" s="180">
        <f t="shared" si="2"/>
        <v>111303.14999999991</v>
      </c>
      <c r="N89" s="180">
        <v>0</v>
      </c>
      <c r="O89" s="180">
        <f t="shared" si="3"/>
        <v>792003.12000000011</v>
      </c>
      <c r="P89" s="96" t="s">
        <v>359</v>
      </c>
      <c r="Q89" s="319">
        <f t="shared" si="4"/>
        <v>0.87678248928793567</v>
      </c>
      <c r="R89" s="319">
        <v>0</v>
      </c>
      <c r="S89" s="131" t="s">
        <v>399</v>
      </c>
      <c r="T89" s="98">
        <v>1</v>
      </c>
      <c r="U89" s="395" t="s">
        <v>400</v>
      </c>
      <c r="V89" s="260">
        <v>0</v>
      </c>
      <c r="W89" s="260">
        <v>0</v>
      </c>
      <c r="X89" s="260">
        <v>0</v>
      </c>
    </row>
    <row r="90" spans="1:24" s="32" customFormat="1" ht="89.1" customHeight="1">
      <c r="A90" s="90" t="s">
        <v>392</v>
      </c>
      <c r="B90" s="88">
        <v>43564</v>
      </c>
      <c r="C90" s="89" t="s">
        <v>783</v>
      </c>
      <c r="D90" s="91" t="s">
        <v>683</v>
      </c>
      <c r="E90" s="392" t="s">
        <v>401</v>
      </c>
      <c r="F90" s="393" t="s">
        <v>784</v>
      </c>
      <c r="G90" s="93">
        <f t="shared" si="0"/>
        <v>1139260.08</v>
      </c>
      <c r="H90" s="182">
        <v>1139260.08</v>
      </c>
      <c r="I90" s="93">
        <f t="shared" si="1"/>
        <v>728047.26</v>
      </c>
      <c r="J90" s="180">
        <f>100533.28+100533.28+100533.28+125666.6+149980.9+150799.92</f>
        <v>728047.26</v>
      </c>
      <c r="K90" s="93">
        <v>0</v>
      </c>
      <c r="L90" s="394">
        <v>0</v>
      </c>
      <c r="M90" s="180">
        <f t="shared" si="2"/>
        <v>411212.82000000007</v>
      </c>
      <c r="N90" s="180">
        <v>0</v>
      </c>
      <c r="O90" s="180">
        <f t="shared" si="3"/>
        <v>728047.26</v>
      </c>
      <c r="P90" s="96" t="s">
        <v>359</v>
      </c>
      <c r="Q90" s="319">
        <f t="shared" si="4"/>
        <v>0.63905272622209319</v>
      </c>
      <c r="R90" s="319">
        <v>0</v>
      </c>
      <c r="S90" s="131" t="s">
        <v>402</v>
      </c>
      <c r="T90" s="98">
        <v>1</v>
      </c>
      <c r="U90" s="395" t="s">
        <v>403</v>
      </c>
      <c r="V90" s="260">
        <v>0</v>
      </c>
      <c r="W90" s="260">
        <v>0</v>
      </c>
      <c r="X90" s="260">
        <v>0</v>
      </c>
    </row>
    <row r="91" spans="1:24" s="32" customFormat="1" ht="89.1" customHeight="1">
      <c r="A91" s="90" t="s">
        <v>392</v>
      </c>
      <c r="B91" s="88">
        <v>43656</v>
      </c>
      <c r="C91" s="89" t="s">
        <v>785</v>
      </c>
      <c r="D91" s="91"/>
      <c r="E91" s="392" t="s">
        <v>786</v>
      </c>
      <c r="F91" s="393" t="s">
        <v>787</v>
      </c>
      <c r="G91" s="93">
        <f t="shared" ref="G91:G94" si="5">H91</f>
        <v>505680</v>
      </c>
      <c r="H91" s="182">
        <v>505680</v>
      </c>
      <c r="I91" s="93">
        <f t="shared" ref="I91:I94" si="6">J91</f>
        <v>86829.48</v>
      </c>
      <c r="J91" s="180">
        <v>86829.48</v>
      </c>
      <c r="K91" s="93">
        <v>0</v>
      </c>
      <c r="L91" s="394">
        <v>0</v>
      </c>
      <c r="M91" s="180">
        <f t="shared" ref="M91:M94" si="7">G91-I91</f>
        <v>418850.52</v>
      </c>
      <c r="N91" s="180">
        <v>0</v>
      </c>
      <c r="O91" s="180">
        <f t="shared" ref="O91:O94" si="8">I91+N91</f>
        <v>86829.48</v>
      </c>
      <c r="P91" s="96"/>
      <c r="Q91" s="319">
        <f t="shared" ref="Q91:Q94" si="9">I91/G91</f>
        <v>0.17170835310868532</v>
      </c>
      <c r="R91" s="319">
        <v>0</v>
      </c>
      <c r="S91" s="131" t="s">
        <v>402</v>
      </c>
      <c r="T91" s="98">
        <v>1</v>
      </c>
      <c r="U91" s="395" t="s">
        <v>788</v>
      </c>
      <c r="V91" s="260">
        <v>0</v>
      </c>
      <c r="W91" s="260">
        <v>0</v>
      </c>
      <c r="X91" s="260">
        <v>0</v>
      </c>
    </row>
    <row r="92" spans="1:24" s="32" customFormat="1" ht="89.1" customHeight="1">
      <c r="A92" s="90" t="s">
        <v>230</v>
      </c>
      <c r="B92" s="88">
        <v>43668</v>
      </c>
      <c r="C92" s="89" t="s">
        <v>789</v>
      </c>
      <c r="D92" s="91"/>
      <c r="E92" s="392" t="s">
        <v>790</v>
      </c>
      <c r="F92" s="393" t="s">
        <v>791</v>
      </c>
      <c r="G92" s="93">
        <f t="shared" si="5"/>
        <v>1159089.24</v>
      </c>
      <c r="H92" s="182">
        <v>1159089.24</v>
      </c>
      <c r="I92" s="93">
        <f t="shared" si="6"/>
        <v>0</v>
      </c>
      <c r="J92" s="180">
        <v>0</v>
      </c>
      <c r="K92" s="93">
        <v>0</v>
      </c>
      <c r="L92" s="394">
        <v>0</v>
      </c>
      <c r="M92" s="180">
        <f t="shared" si="7"/>
        <v>1159089.24</v>
      </c>
      <c r="N92" s="180">
        <v>0</v>
      </c>
      <c r="O92" s="180">
        <f t="shared" si="8"/>
        <v>0</v>
      </c>
      <c r="P92" s="96"/>
      <c r="Q92" s="319">
        <f t="shared" si="9"/>
        <v>0</v>
      </c>
      <c r="R92" s="319">
        <v>0</v>
      </c>
      <c r="S92" s="131" t="s">
        <v>792</v>
      </c>
      <c r="T92" s="98">
        <v>1</v>
      </c>
      <c r="U92" s="395" t="s">
        <v>400</v>
      </c>
      <c r="V92" s="260">
        <v>0</v>
      </c>
      <c r="W92" s="260">
        <v>0</v>
      </c>
      <c r="X92" s="260">
        <v>0</v>
      </c>
    </row>
    <row r="93" spans="1:24" s="32" customFormat="1" ht="89.1" customHeight="1">
      <c r="A93" s="90" t="s">
        <v>230</v>
      </c>
      <c r="B93" s="88">
        <v>43662</v>
      </c>
      <c r="C93" s="89" t="s">
        <v>793</v>
      </c>
      <c r="D93" s="91"/>
      <c r="E93" s="392" t="s">
        <v>794</v>
      </c>
      <c r="F93" s="393" t="s">
        <v>795</v>
      </c>
      <c r="G93" s="93">
        <f t="shared" si="5"/>
        <v>1955699.99</v>
      </c>
      <c r="H93" s="182">
        <v>1955699.99</v>
      </c>
      <c r="I93" s="93">
        <f t="shared" si="6"/>
        <v>0</v>
      </c>
      <c r="J93" s="180">
        <v>0</v>
      </c>
      <c r="K93" s="93">
        <v>0</v>
      </c>
      <c r="L93" s="394">
        <v>0</v>
      </c>
      <c r="M93" s="180">
        <f t="shared" si="7"/>
        <v>1955699.99</v>
      </c>
      <c r="N93" s="180">
        <v>0</v>
      </c>
      <c r="O93" s="180">
        <f t="shared" si="8"/>
        <v>0</v>
      </c>
      <c r="P93" s="96"/>
      <c r="Q93" s="319">
        <f t="shared" si="9"/>
        <v>0</v>
      </c>
      <c r="R93" s="319">
        <v>0.09</v>
      </c>
      <c r="S93" s="131" t="s">
        <v>32</v>
      </c>
      <c r="T93" s="98">
        <v>1</v>
      </c>
      <c r="U93" s="395" t="s">
        <v>796</v>
      </c>
      <c r="V93" s="260">
        <v>0</v>
      </c>
      <c r="W93" s="260">
        <v>0</v>
      </c>
      <c r="X93" s="260">
        <v>0</v>
      </c>
    </row>
    <row r="94" spans="1:24" s="32" customFormat="1" ht="89.1" customHeight="1">
      <c r="A94" s="90" t="s">
        <v>797</v>
      </c>
      <c r="B94" s="88">
        <v>43668</v>
      </c>
      <c r="C94" s="89" t="s">
        <v>798</v>
      </c>
      <c r="D94" s="91"/>
      <c r="E94" s="392" t="s">
        <v>637</v>
      </c>
      <c r="F94" s="393" t="s">
        <v>799</v>
      </c>
      <c r="G94" s="93">
        <f t="shared" si="5"/>
        <v>456275.92</v>
      </c>
      <c r="H94" s="182">
        <v>456275.92</v>
      </c>
      <c r="I94" s="93">
        <f t="shared" si="6"/>
        <v>28850.36</v>
      </c>
      <c r="J94" s="180">
        <v>28850.36</v>
      </c>
      <c r="K94" s="93">
        <v>0</v>
      </c>
      <c r="L94" s="394">
        <v>0</v>
      </c>
      <c r="M94" s="180">
        <f t="shared" si="7"/>
        <v>427425.56</v>
      </c>
      <c r="N94" s="180">
        <v>0</v>
      </c>
      <c r="O94" s="180">
        <f t="shared" si="8"/>
        <v>28850.36</v>
      </c>
      <c r="P94" s="96"/>
      <c r="Q94" s="319">
        <f t="shared" si="9"/>
        <v>6.3230073592312308E-2</v>
      </c>
      <c r="R94" s="319">
        <v>0</v>
      </c>
      <c r="S94" s="131" t="s">
        <v>402</v>
      </c>
      <c r="T94" s="98">
        <v>1</v>
      </c>
      <c r="U94" s="395" t="s">
        <v>800</v>
      </c>
      <c r="V94" s="260">
        <v>0</v>
      </c>
      <c r="W94" s="260">
        <v>0</v>
      </c>
      <c r="X94" s="260">
        <v>0</v>
      </c>
    </row>
    <row r="95" spans="1:24" s="196" customFormat="1" ht="12.75" customHeight="1" thickBot="1">
      <c r="A95" s="479"/>
      <c r="B95" s="479"/>
      <c r="C95" s="479"/>
      <c r="D95" s="479"/>
      <c r="E95" s="479"/>
      <c r="F95" s="479"/>
      <c r="G95" s="183"/>
      <c r="H95" s="184"/>
      <c r="I95" s="185"/>
      <c r="J95" s="186"/>
      <c r="K95" s="187"/>
      <c r="L95" s="188"/>
      <c r="M95" s="187"/>
      <c r="N95" s="187"/>
      <c r="O95" s="189"/>
      <c r="P95" s="190"/>
      <c r="Q95" s="191"/>
      <c r="R95" s="191"/>
      <c r="S95" s="192"/>
      <c r="T95" s="193"/>
      <c r="U95" s="194"/>
      <c r="V95" s="195"/>
      <c r="W95" s="195"/>
      <c r="X95" s="195"/>
    </row>
    <row r="96" spans="1:24" s="196" customFormat="1" ht="35.25" customHeight="1" thickTop="1" thickBot="1">
      <c r="A96" s="197"/>
      <c r="B96" s="198"/>
      <c r="C96" s="195"/>
      <c r="D96" s="199"/>
      <c r="E96" s="199"/>
      <c r="F96" s="200" t="s">
        <v>37</v>
      </c>
      <c r="G96" s="201">
        <f>SUM(G15:G95)</f>
        <v>145114146.25000006</v>
      </c>
      <c r="H96" s="202">
        <f>SUM(H15:H94)</f>
        <v>145114146.25000006</v>
      </c>
      <c r="I96" s="202">
        <f>SUM(I15:I95)</f>
        <v>85791806.659999996</v>
      </c>
      <c r="J96" s="202">
        <f>SUM(J15:J95)</f>
        <v>85791806.659999996</v>
      </c>
      <c r="K96" s="202"/>
      <c r="L96" s="202">
        <f>SUM(L15:L95)</f>
        <v>0</v>
      </c>
      <c r="M96" s="202">
        <f>SUM(M15:M94)</f>
        <v>59322339.590000018</v>
      </c>
      <c r="N96" s="202">
        <f>SUM(N15:N94)</f>
        <v>0</v>
      </c>
      <c r="O96" s="202">
        <f>SUM(O15:O94)</f>
        <v>85791806.659999996</v>
      </c>
      <c r="P96" s="191"/>
      <c r="Q96" s="191"/>
      <c r="R96" s="203"/>
      <c r="S96" s="204"/>
      <c r="T96" s="193"/>
      <c r="U96" s="194"/>
      <c r="V96" s="195"/>
      <c r="W96" s="195"/>
      <c r="X96" s="195"/>
    </row>
    <row r="97" spans="1:20" s="196" customFormat="1" ht="24" customHeight="1" thickTop="1">
      <c r="A97" s="205" t="s">
        <v>38</v>
      </c>
      <c r="I97" s="206"/>
      <c r="J97" s="186"/>
      <c r="S97" s="207"/>
      <c r="T97" s="208"/>
    </row>
    <row r="98" spans="1:20">
      <c r="I98" s="2"/>
      <c r="M98" s="13"/>
    </row>
    <row r="99" spans="1:20">
      <c r="I99" s="2"/>
    </row>
    <row r="100" spans="1:20">
      <c r="I100" s="13"/>
    </row>
    <row r="101" spans="1:20">
      <c r="I101" s="2"/>
    </row>
    <row r="102" spans="1:20">
      <c r="I102" s="13"/>
    </row>
  </sheetData>
  <mergeCells count="10">
    <mergeCell ref="A95:F95"/>
    <mergeCell ref="A9:B9"/>
    <mergeCell ref="A10:B10"/>
    <mergeCell ref="A2:B5"/>
    <mergeCell ref="C2:W3"/>
    <mergeCell ref="C4:W4"/>
    <mergeCell ref="C5:W5"/>
    <mergeCell ref="A7:B7"/>
    <mergeCell ref="A8:B8"/>
    <mergeCell ref="S14:T14"/>
  </mergeCells>
  <printOptions horizontalCentered="1"/>
  <pageMargins left="0.31496062992125984" right="0.31496062992125984" top="0.74803149606299213" bottom="0.55118110236220474" header="0.31496062992125984" footer="0.31496062992125984"/>
  <pageSetup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workbookViewId="0">
      <selection sqref="A1:U20"/>
    </sheetView>
  </sheetViews>
  <sheetFormatPr baseColWidth="10" defaultRowHeight="15"/>
  <cols>
    <col min="1" max="1" width="9.42578125" customWidth="1"/>
    <col min="3" max="3" width="14.7109375" customWidth="1"/>
    <col min="4" max="4" width="0" hidden="1" customWidth="1"/>
    <col min="5" max="5" width="7" customWidth="1"/>
    <col min="6" max="6" width="29.28515625" customWidth="1"/>
    <col min="7" max="7" width="14.85546875" customWidth="1"/>
    <col min="8" max="8" width="11.42578125" hidden="1" customWidth="1"/>
    <col min="9" max="9" width="14.42578125" bestFit="1" customWidth="1"/>
    <col min="10" max="10" width="14.7109375" hidden="1" customWidth="1"/>
    <col min="11" max="11" width="13.140625" customWidth="1"/>
    <col min="12" max="12" width="11.42578125" hidden="1" customWidth="1"/>
    <col min="13" max="13" width="12.85546875" bestFit="1" customWidth="1"/>
    <col min="14" max="14" width="10.42578125" customWidth="1"/>
    <col min="15" max="15" width="9.28515625" customWidth="1"/>
    <col min="16" max="16" width="7" bestFit="1" customWidth="1"/>
    <col min="17" max="17" width="11.42578125" customWidth="1"/>
    <col min="20" max="20" width="9.7109375" bestFit="1" customWidth="1"/>
    <col min="21" max="21" width="8.85546875" customWidth="1"/>
  </cols>
  <sheetData>
    <row r="1" spans="1:21">
      <c r="A1" s="460"/>
      <c r="B1" s="460"/>
      <c r="C1" s="484" t="s">
        <v>346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1" ht="33" customHeight="1">
      <c r="A2" s="460"/>
      <c r="B2" s="460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1" ht="18.75">
      <c r="A3" s="460"/>
      <c r="B3" s="460"/>
      <c r="C3" s="485" t="s">
        <v>559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</row>
    <row r="4" spans="1:21" ht="18.75">
      <c r="A4" s="460"/>
      <c r="B4" s="460"/>
      <c r="C4" s="486" t="s">
        <v>565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</row>
    <row r="5" spans="1:21" ht="24.75" customHeight="1" thickBot="1"/>
    <row r="6" spans="1:21">
      <c r="A6" s="487" t="s">
        <v>39</v>
      </c>
      <c r="B6" s="488"/>
      <c r="C6" s="145">
        <v>360000</v>
      </c>
      <c r="D6" s="71"/>
      <c r="E6" s="146"/>
      <c r="F6" s="130"/>
      <c r="K6" s="11"/>
      <c r="M6" s="11"/>
      <c r="N6" s="11"/>
    </row>
    <row r="7" spans="1:21">
      <c r="A7" s="480" t="s">
        <v>349</v>
      </c>
      <c r="B7" s="481"/>
      <c r="C7" s="147">
        <v>360000</v>
      </c>
      <c r="D7" s="71"/>
      <c r="E7" s="146"/>
      <c r="F7" s="130"/>
      <c r="G7" s="257"/>
      <c r="H7" s="257"/>
      <c r="I7" s="257"/>
      <c r="J7" s="257"/>
      <c r="K7" s="257"/>
      <c r="L7" s="257"/>
      <c r="M7" s="257"/>
      <c r="N7" s="257"/>
      <c r="O7" s="257"/>
      <c r="P7" s="257"/>
    </row>
    <row r="8" spans="1:21">
      <c r="A8" s="480" t="s">
        <v>5</v>
      </c>
      <c r="B8" s="481"/>
      <c r="C8" s="147">
        <f>I16</f>
        <v>231919</v>
      </c>
      <c r="D8" s="71"/>
      <c r="E8" s="146"/>
      <c r="F8" s="130"/>
      <c r="G8" s="257"/>
      <c r="H8" s="257"/>
      <c r="I8" s="257"/>
      <c r="J8" s="257"/>
      <c r="K8" s="257"/>
      <c r="L8" s="257"/>
      <c r="M8" s="257"/>
      <c r="N8" s="257"/>
      <c r="O8" s="257"/>
      <c r="P8" s="257"/>
    </row>
    <row r="9" spans="1:21" ht="15.75" thickBot="1">
      <c r="A9" s="482" t="s">
        <v>12</v>
      </c>
      <c r="B9" s="483"/>
      <c r="C9" s="148">
        <f>C7-C8</f>
        <v>128081</v>
      </c>
      <c r="M9" s="149"/>
      <c r="P9" s="11"/>
      <c r="T9" s="72"/>
      <c r="U9" s="150"/>
    </row>
    <row r="10" spans="1:21">
      <c r="A10" s="151"/>
      <c r="B10" s="151"/>
      <c r="M10" s="149"/>
      <c r="P10" s="11"/>
      <c r="T10" s="72"/>
      <c r="U10" s="150"/>
    </row>
    <row r="11" spans="1:21" ht="15.75" customHeight="1" thickBot="1">
      <c r="L11" s="149"/>
      <c r="M11" s="149"/>
      <c r="P11" s="11"/>
      <c r="T11" s="492" t="s">
        <v>878</v>
      </c>
      <c r="U11" s="492"/>
    </row>
    <row r="12" spans="1:21" ht="16.5" customHeight="1" thickTop="1" thickBot="1">
      <c r="A12" s="152"/>
      <c r="B12" s="152"/>
      <c r="C12" s="152"/>
      <c r="D12" s="152"/>
      <c r="E12" s="152"/>
      <c r="F12" s="152"/>
      <c r="G12" s="153" t="s">
        <v>13</v>
      </c>
      <c r="H12" s="154"/>
      <c r="I12" s="155" t="s">
        <v>14</v>
      </c>
      <c r="J12" s="154"/>
      <c r="K12" s="157" t="s">
        <v>15</v>
      </c>
      <c r="L12" s="159" t="s">
        <v>351</v>
      </c>
      <c r="M12" s="160"/>
      <c r="N12" s="161"/>
      <c r="O12" s="161"/>
      <c r="P12" s="161"/>
      <c r="Q12" s="161"/>
      <c r="R12" s="161"/>
      <c r="S12" s="162"/>
      <c r="T12" s="161"/>
      <c r="U12" s="161"/>
    </row>
    <row r="13" spans="1:21" ht="24" customHeight="1" thickTop="1" thickBot="1">
      <c r="A13" s="163" t="s">
        <v>16</v>
      </c>
      <c r="B13" s="164" t="s">
        <v>17</v>
      </c>
      <c r="C13" s="164" t="s">
        <v>18</v>
      </c>
      <c r="D13" s="164" t="s">
        <v>560</v>
      </c>
      <c r="E13" s="164" t="s">
        <v>77</v>
      </c>
      <c r="F13" s="164" t="s">
        <v>21</v>
      </c>
      <c r="G13" s="165" t="s">
        <v>22</v>
      </c>
      <c r="H13" s="165" t="s">
        <v>352</v>
      </c>
      <c r="I13" s="165" t="s">
        <v>22</v>
      </c>
      <c r="J13" s="165" t="s">
        <v>352</v>
      </c>
      <c r="K13" s="165" t="s">
        <v>22</v>
      </c>
      <c r="L13" s="165" t="s">
        <v>351</v>
      </c>
      <c r="M13" s="165" t="s">
        <v>24</v>
      </c>
      <c r="N13" s="164" t="s">
        <v>354</v>
      </c>
      <c r="O13" s="164" t="s">
        <v>355</v>
      </c>
      <c r="P13" s="489" t="s">
        <v>27</v>
      </c>
      <c r="Q13" s="490"/>
      <c r="R13" s="164" t="s">
        <v>28</v>
      </c>
      <c r="S13" s="164" t="s">
        <v>356</v>
      </c>
      <c r="T13" s="164" t="s">
        <v>30</v>
      </c>
      <c r="U13" s="166" t="s">
        <v>31</v>
      </c>
    </row>
    <row r="14" spans="1:21" ht="89.1" customHeight="1">
      <c r="A14" s="167" t="s">
        <v>230</v>
      </c>
      <c r="B14" s="168">
        <v>43606</v>
      </c>
      <c r="C14" s="169" t="s">
        <v>561</v>
      </c>
      <c r="D14" s="258" t="s">
        <v>562</v>
      </c>
      <c r="E14" s="170" t="s">
        <v>563</v>
      </c>
      <c r="F14" s="171" t="s">
        <v>867</v>
      </c>
      <c r="G14" s="172">
        <f t="shared" ref="G14" si="0">H14</f>
        <v>360000</v>
      </c>
      <c r="H14" s="173">
        <v>360000</v>
      </c>
      <c r="I14" s="172">
        <f t="shared" ref="I14" si="1">J14</f>
        <v>231919</v>
      </c>
      <c r="J14" s="172">
        <f>231919</f>
        <v>231919</v>
      </c>
      <c r="K14" s="174">
        <f t="shared" ref="K14" si="2">G14-I14</f>
        <v>128081</v>
      </c>
      <c r="L14" s="175">
        <f>I14</f>
        <v>231919</v>
      </c>
      <c r="M14" s="176" t="s">
        <v>79</v>
      </c>
      <c r="N14" s="209">
        <f t="shared" ref="N14" si="3">I14/G14</f>
        <v>0.64421944444444446</v>
      </c>
      <c r="O14" s="209">
        <v>0.50760000000000005</v>
      </c>
      <c r="P14" s="177" t="s">
        <v>32</v>
      </c>
      <c r="Q14" s="178">
        <v>1</v>
      </c>
      <c r="R14" s="179" t="s">
        <v>564</v>
      </c>
      <c r="S14" s="169" t="s">
        <v>34</v>
      </c>
      <c r="T14" s="169" t="s">
        <v>876</v>
      </c>
      <c r="U14" s="169" t="s">
        <v>876</v>
      </c>
    </row>
    <row r="15" spans="1:21" ht="15.75" thickBot="1">
      <c r="A15" s="491"/>
      <c r="B15" s="491"/>
      <c r="C15" s="491"/>
      <c r="D15" s="491"/>
      <c r="E15" s="491"/>
      <c r="F15" s="491"/>
      <c r="G15" s="183"/>
      <c r="H15" s="184"/>
      <c r="I15" s="185"/>
      <c r="J15" s="186"/>
      <c r="K15" s="187"/>
      <c r="L15" s="189"/>
      <c r="M15" s="190"/>
      <c r="N15" s="191"/>
      <c r="O15" s="191"/>
      <c r="P15" s="192"/>
      <c r="Q15" s="193"/>
      <c r="R15" s="194"/>
      <c r="S15" s="195"/>
      <c r="T15" s="195"/>
      <c r="U15" s="195"/>
    </row>
    <row r="16" spans="1:21" ht="16.5" thickTop="1" thickBot="1">
      <c r="A16" s="197"/>
      <c r="B16" s="198"/>
      <c r="C16" s="195"/>
      <c r="D16" s="199"/>
      <c r="E16" s="199"/>
      <c r="F16" s="200" t="s">
        <v>37</v>
      </c>
      <c r="G16" s="201">
        <f>SUM(G14:G15)</f>
        <v>360000</v>
      </c>
      <c r="H16" s="202">
        <f>SUM(H14:H14)</f>
        <v>360000</v>
      </c>
      <c r="I16" s="202">
        <f>SUM(I14:I15)</f>
        <v>231919</v>
      </c>
      <c r="J16" s="202">
        <f>SUM(J14:J15)</f>
        <v>231919</v>
      </c>
      <c r="K16" s="202">
        <f>SUM(K14:K14)</f>
        <v>128081</v>
      </c>
      <c r="L16" s="202">
        <f>SUM(L14:L14)</f>
        <v>231919</v>
      </c>
      <c r="M16" s="191"/>
      <c r="N16" s="191"/>
      <c r="O16" s="203"/>
      <c r="P16" s="204"/>
      <c r="Q16" s="193"/>
      <c r="R16" s="194"/>
      <c r="S16" s="195"/>
      <c r="T16" s="195"/>
      <c r="U16" s="195"/>
    </row>
    <row r="17" spans="1:21" s="9" customFormat="1" ht="15.75" thickTop="1">
      <c r="A17" s="197"/>
      <c r="B17" s="198"/>
      <c r="C17" s="195"/>
      <c r="D17" s="199"/>
      <c r="E17" s="199"/>
      <c r="F17" s="281"/>
      <c r="G17" s="282"/>
      <c r="H17" s="283"/>
      <c r="I17" s="283"/>
      <c r="J17" s="283"/>
      <c r="K17" s="283"/>
      <c r="L17" s="283"/>
      <c r="M17" s="191"/>
      <c r="N17" s="191"/>
      <c r="O17" s="203"/>
      <c r="P17" s="204"/>
      <c r="Q17" s="193"/>
      <c r="R17" s="194"/>
      <c r="S17" s="195"/>
      <c r="T17" s="195"/>
      <c r="U17" s="195"/>
    </row>
    <row r="18" spans="1:21" s="9" customFormat="1">
      <c r="A18" s="197"/>
      <c r="B18" s="198"/>
      <c r="C18" s="195"/>
      <c r="D18" s="199"/>
      <c r="E18" s="199"/>
      <c r="F18" s="281"/>
      <c r="G18" s="282"/>
      <c r="H18" s="283"/>
      <c r="I18" s="283"/>
      <c r="J18" s="283"/>
      <c r="K18" s="283"/>
      <c r="L18" s="283"/>
      <c r="M18" s="191"/>
      <c r="N18" s="191"/>
      <c r="O18" s="203"/>
      <c r="P18" s="204"/>
      <c r="Q18" s="193"/>
      <c r="R18" s="194"/>
      <c r="S18" s="195"/>
      <c r="T18" s="195"/>
      <c r="U18" s="195"/>
    </row>
    <row r="19" spans="1:21" s="9" customFormat="1">
      <c r="A19" s="205" t="s">
        <v>38</v>
      </c>
      <c r="B19" s="196"/>
      <c r="C19" s="196"/>
      <c r="D19" s="196"/>
      <c r="E19" s="196"/>
      <c r="F19" s="196"/>
      <c r="G19" s="196"/>
      <c r="H19" s="196"/>
      <c r="I19" s="206"/>
      <c r="J19" s="186"/>
      <c r="K19" s="196"/>
      <c r="L19" s="196"/>
      <c r="M19" s="196"/>
      <c r="N19" s="196"/>
      <c r="O19" s="196"/>
      <c r="P19" s="207"/>
      <c r="Q19" s="208"/>
      <c r="R19" s="196"/>
      <c r="S19" s="196"/>
      <c r="T19" s="196"/>
      <c r="U19" s="196"/>
    </row>
    <row r="24" spans="1:21" ht="24" customHeight="1"/>
  </sheetData>
  <mergeCells count="11">
    <mergeCell ref="A8:B8"/>
    <mergeCell ref="A9:B9"/>
    <mergeCell ref="P13:Q13"/>
    <mergeCell ref="A15:F15"/>
    <mergeCell ref="A1:B4"/>
    <mergeCell ref="C1:U2"/>
    <mergeCell ref="C3:U3"/>
    <mergeCell ref="C4:U4"/>
    <mergeCell ref="A6:B6"/>
    <mergeCell ref="A7:B7"/>
    <mergeCell ref="T11:U1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6"/>
  <sheetViews>
    <sheetView workbookViewId="0">
      <selection sqref="A1:AD23"/>
    </sheetView>
  </sheetViews>
  <sheetFormatPr baseColWidth="10" defaultRowHeight="15"/>
  <cols>
    <col min="1" max="1" width="7.5703125" customWidth="1"/>
    <col min="2" max="2" width="12.140625" customWidth="1"/>
    <col min="3" max="3" width="10.7109375" customWidth="1"/>
    <col min="4" max="4" width="15.28515625" hidden="1" customWidth="1"/>
    <col min="5" max="5" width="7.140625" customWidth="1"/>
    <col min="6" max="6" width="25.85546875" customWidth="1"/>
    <col min="7" max="7" width="12.42578125" customWidth="1"/>
    <col min="8" max="8" width="11.42578125" customWidth="1"/>
    <col min="9" max="11" width="11.42578125" hidden="1" customWidth="1"/>
    <col min="12" max="12" width="12.5703125" customWidth="1"/>
    <col min="13" max="16" width="11.42578125" hidden="1" customWidth="1"/>
    <col min="17" max="17" width="11.5703125" customWidth="1"/>
    <col min="18" max="21" width="11.42578125" hidden="1" customWidth="1"/>
    <col min="22" max="22" width="9.42578125" customWidth="1"/>
    <col min="23" max="23" width="10.140625" style="237" customWidth="1"/>
    <col min="24" max="24" width="9.28515625" style="237" customWidth="1"/>
    <col min="25" max="25" width="13" customWidth="1"/>
    <col min="26" max="26" width="12.85546875" customWidth="1"/>
    <col min="27" max="27" width="12.5703125" customWidth="1"/>
    <col min="30" max="30" width="8.7109375" customWidth="1"/>
  </cols>
  <sheetData>
    <row r="2" spans="1:30" ht="51" customHeight="1">
      <c r="A2" s="460"/>
      <c r="B2" s="460"/>
      <c r="C2" s="463" t="s">
        <v>53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</row>
    <row r="3" spans="1:30" ht="51" customHeight="1">
      <c r="A3" s="460"/>
      <c r="B3" s="460"/>
      <c r="C3" s="464" t="s">
        <v>480</v>
      </c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</row>
    <row r="6" spans="1:30">
      <c r="A6" s="493" t="s">
        <v>39</v>
      </c>
      <c r="B6" s="494"/>
      <c r="C6" s="501">
        <f>G20</f>
        <v>39682222.799999997</v>
      </c>
      <c r="D6" s="501"/>
      <c r="E6" s="502"/>
      <c r="F6" s="71"/>
    </row>
    <row r="7" spans="1:30">
      <c r="A7" s="495" t="s">
        <v>349</v>
      </c>
      <c r="B7" s="496"/>
      <c r="C7" s="503">
        <f>C6</f>
        <v>39682222.799999997</v>
      </c>
      <c r="D7" s="503"/>
      <c r="E7" s="504"/>
      <c r="F7" s="71"/>
    </row>
    <row r="8" spans="1:30">
      <c r="A8" s="495" t="s">
        <v>5</v>
      </c>
      <c r="B8" s="496"/>
      <c r="C8" s="503">
        <f>L20</f>
        <v>24105744</v>
      </c>
      <c r="D8" s="503"/>
      <c r="E8" s="504"/>
      <c r="F8" s="71"/>
    </row>
    <row r="9" spans="1:30">
      <c r="A9" s="499" t="s">
        <v>12</v>
      </c>
      <c r="B9" s="500"/>
      <c r="C9" s="505">
        <f>C7-C8</f>
        <v>15576478.799999997</v>
      </c>
      <c r="D9" s="505"/>
      <c r="E9" s="506"/>
      <c r="F9" s="71"/>
    </row>
    <row r="10" spans="1:30">
      <c r="F10" s="149"/>
    </row>
    <row r="11" spans="1:30" ht="15.75" thickBot="1">
      <c r="A11" s="129"/>
      <c r="B11" s="130"/>
      <c r="C11" s="130"/>
      <c r="D11" s="130"/>
      <c r="E11" s="130"/>
      <c r="L11" s="25"/>
      <c r="S11" s="210"/>
      <c r="U11" s="210"/>
      <c r="W11"/>
      <c r="X11"/>
      <c r="AD11" s="272" t="s">
        <v>878</v>
      </c>
    </row>
    <row r="12" spans="1:30" ht="16.5" thickTop="1" thickBot="1">
      <c r="A12" s="211"/>
      <c r="B12" s="211"/>
      <c r="C12" s="211"/>
      <c r="D12" s="211"/>
      <c r="E12" s="211"/>
      <c r="F12" s="211"/>
      <c r="G12" s="467" t="s">
        <v>13</v>
      </c>
      <c r="H12" s="468"/>
      <c r="I12" s="468"/>
      <c r="J12" s="468"/>
      <c r="K12" s="469"/>
      <c r="L12" s="467" t="s">
        <v>14</v>
      </c>
      <c r="M12" s="468"/>
      <c r="N12" s="468"/>
      <c r="O12" s="468"/>
      <c r="P12" s="469"/>
      <c r="Q12" s="470" t="s">
        <v>15</v>
      </c>
      <c r="R12" s="471"/>
      <c r="S12" s="471"/>
      <c r="T12" s="471"/>
      <c r="U12" s="472"/>
      <c r="V12" s="212"/>
      <c r="W12" s="213"/>
      <c r="X12" s="213"/>
      <c r="Y12" s="214"/>
      <c r="Z12" s="214"/>
      <c r="AA12" s="214"/>
      <c r="AB12" s="215"/>
      <c r="AC12" s="213"/>
      <c r="AD12" s="213"/>
    </row>
    <row r="13" spans="1:30" s="274" customFormat="1" ht="37.5" customHeight="1" thickBot="1">
      <c r="A13" s="290" t="s">
        <v>257</v>
      </c>
      <c r="B13" s="291" t="s">
        <v>17</v>
      </c>
      <c r="C13" s="291" t="s">
        <v>18</v>
      </c>
      <c r="D13" s="292" t="s">
        <v>19</v>
      </c>
      <c r="E13" s="292" t="s">
        <v>77</v>
      </c>
      <c r="F13" s="292" t="s">
        <v>21</v>
      </c>
      <c r="G13" s="292" t="s">
        <v>22</v>
      </c>
      <c r="H13" s="292" t="s">
        <v>23</v>
      </c>
      <c r="I13" s="292" t="s">
        <v>453</v>
      </c>
      <c r="J13" s="292" t="s">
        <v>454</v>
      </c>
      <c r="K13" s="292" t="s">
        <v>78</v>
      </c>
      <c r="L13" s="293" t="s">
        <v>22</v>
      </c>
      <c r="M13" s="292" t="s">
        <v>23</v>
      </c>
      <c r="N13" s="292" t="s">
        <v>453</v>
      </c>
      <c r="O13" s="292" t="s">
        <v>454</v>
      </c>
      <c r="P13" s="292" t="s">
        <v>78</v>
      </c>
      <c r="Q13" s="292" t="s">
        <v>22</v>
      </c>
      <c r="R13" s="292" t="s">
        <v>23</v>
      </c>
      <c r="S13" s="292" t="s">
        <v>453</v>
      </c>
      <c r="T13" s="292" t="s">
        <v>454</v>
      </c>
      <c r="U13" s="292" t="s">
        <v>78</v>
      </c>
      <c r="V13" s="292" t="s">
        <v>24</v>
      </c>
      <c r="W13" s="292" t="s">
        <v>25</v>
      </c>
      <c r="X13" s="292" t="s">
        <v>26</v>
      </c>
      <c r="Y13" s="497" t="s">
        <v>27</v>
      </c>
      <c r="Z13" s="498"/>
      <c r="AA13" s="292" t="s">
        <v>28</v>
      </c>
      <c r="AB13" s="292" t="s">
        <v>29</v>
      </c>
      <c r="AC13" s="292" t="s">
        <v>30</v>
      </c>
      <c r="AD13" s="294" t="s">
        <v>31</v>
      </c>
    </row>
    <row r="14" spans="1:30" s="79" customFormat="1" ht="57">
      <c r="A14" s="275" t="s">
        <v>128</v>
      </c>
      <c r="B14" s="315">
        <v>43563</v>
      </c>
      <c r="C14" s="240" t="s">
        <v>461</v>
      </c>
      <c r="D14" s="240" t="s">
        <v>337</v>
      </c>
      <c r="E14" s="240" t="s">
        <v>462</v>
      </c>
      <c r="F14" s="241" t="s">
        <v>463</v>
      </c>
      <c r="G14" s="242">
        <f>H14+I14+J14+K14</f>
        <v>1637017</v>
      </c>
      <c r="H14" s="243">
        <v>0</v>
      </c>
      <c r="I14" s="243"/>
      <c r="J14" s="243"/>
      <c r="K14" s="243">
        <v>1637017</v>
      </c>
      <c r="L14" s="242">
        <f>+M14+N14+O14+P14</f>
        <v>731250.05</v>
      </c>
      <c r="M14" s="242">
        <v>0</v>
      </c>
      <c r="N14" s="242"/>
      <c r="O14" s="243"/>
      <c r="P14" s="243">
        <v>731250.05</v>
      </c>
      <c r="Q14" s="242">
        <f>+G14-L14-S14-T14</f>
        <v>905766.95</v>
      </c>
      <c r="R14" s="244">
        <f t="shared" ref="R14:R18" si="0">H14-M14</f>
        <v>0</v>
      </c>
      <c r="S14" s="245"/>
      <c r="T14" s="245"/>
      <c r="U14" s="245">
        <f>K14-P14</f>
        <v>905766.95</v>
      </c>
      <c r="V14" s="246" t="s">
        <v>36</v>
      </c>
      <c r="W14" s="311">
        <f>L14/G14</f>
        <v>0.44669667450002049</v>
      </c>
      <c r="X14" s="312">
        <f>W14</f>
        <v>0.44669667450002049</v>
      </c>
      <c r="Y14" s="276" t="s">
        <v>877</v>
      </c>
      <c r="Z14" s="246">
        <v>4</v>
      </c>
      <c r="AA14" s="247" t="s">
        <v>259</v>
      </c>
      <c r="AB14" s="247" t="s">
        <v>870</v>
      </c>
      <c r="AC14" s="247" t="s">
        <v>801</v>
      </c>
      <c r="AD14" s="247" t="s">
        <v>801</v>
      </c>
    </row>
    <row r="15" spans="1:30" s="279" customFormat="1" ht="75.75" customHeight="1">
      <c r="A15" s="277" t="s">
        <v>128</v>
      </c>
      <c r="B15" s="316">
        <v>43563</v>
      </c>
      <c r="C15" s="248" t="s">
        <v>461</v>
      </c>
      <c r="D15" s="248" t="s">
        <v>337</v>
      </c>
      <c r="E15" s="248" t="s">
        <v>464</v>
      </c>
      <c r="F15" s="220" t="s">
        <v>465</v>
      </c>
      <c r="G15" s="182">
        <f t="shared" ref="G15" si="1">H15+I15+J15+K15</f>
        <v>4213117</v>
      </c>
      <c r="H15" s="249">
        <v>0</v>
      </c>
      <c r="I15" s="249"/>
      <c r="J15" s="249"/>
      <c r="K15" s="249">
        <v>4213117</v>
      </c>
      <c r="L15" s="93">
        <f t="shared" ref="L15:L18" si="2">+M15+N15+O15+P15</f>
        <v>4213117</v>
      </c>
      <c r="M15" s="182">
        <v>0</v>
      </c>
      <c r="N15" s="182"/>
      <c r="O15" s="249"/>
      <c r="P15" s="249">
        <v>4213117</v>
      </c>
      <c r="Q15" s="182">
        <f t="shared" ref="Q15:Q18" si="3">+G15-L15-S15-T15</f>
        <v>0</v>
      </c>
      <c r="R15" s="250">
        <f t="shared" si="0"/>
        <v>0</v>
      </c>
      <c r="S15" s="251"/>
      <c r="T15" s="251"/>
      <c r="U15" s="251">
        <f>K15-P15</f>
        <v>0</v>
      </c>
      <c r="V15" s="254" t="s">
        <v>36</v>
      </c>
      <c r="W15" s="310">
        <f t="shared" ref="W15:W19" si="4">L15/G15</f>
        <v>1</v>
      </c>
      <c r="X15" s="310">
        <f t="shared" ref="X15:X19" si="5">W15</f>
        <v>1</v>
      </c>
      <c r="Y15" s="252" t="s">
        <v>466</v>
      </c>
      <c r="Z15" s="254">
        <v>339</v>
      </c>
      <c r="AA15" s="253">
        <v>339</v>
      </c>
      <c r="AB15" s="253" t="s">
        <v>79</v>
      </c>
      <c r="AC15" s="253" t="s">
        <v>871</v>
      </c>
      <c r="AD15" s="253" t="s">
        <v>259</v>
      </c>
    </row>
    <row r="16" spans="1:30" s="79" customFormat="1" ht="57">
      <c r="A16" s="217" t="s">
        <v>128</v>
      </c>
      <c r="B16" s="316">
        <v>43563</v>
      </c>
      <c r="C16" s="219" t="s">
        <v>461</v>
      </c>
      <c r="D16" s="219" t="s">
        <v>337</v>
      </c>
      <c r="E16" s="219" t="s">
        <v>467</v>
      </c>
      <c r="F16" s="220" t="s">
        <v>468</v>
      </c>
      <c r="G16" s="93">
        <f>K16</f>
        <v>5953200</v>
      </c>
      <c r="H16" s="94">
        <v>0</v>
      </c>
      <c r="I16" s="94"/>
      <c r="J16" s="94"/>
      <c r="K16" s="94">
        <v>5953200</v>
      </c>
      <c r="L16" s="93">
        <f>+M16+N16+O16+P16</f>
        <v>4764650</v>
      </c>
      <c r="M16" s="93">
        <v>0</v>
      </c>
      <c r="N16" s="93"/>
      <c r="O16" s="94"/>
      <c r="P16" s="94">
        <f>3290400+545250+447600+44600+436800</f>
        <v>4764650</v>
      </c>
      <c r="Q16" s="93">
        <f t="shared" si="3"/>
        <v>1188550</v>
      </c>
      <c r="R16" s="221">
        <f t="shared" si="0"/>
        <v>0</v>
      </c>
      <c r="S16" s="222"/>
      <c r="T16" s="222"/>
      <c r="U16" s="317">
        <f t="shared" ref="U16:U18" si="6">K16-P16</f>
        <v>1188550</v>
      </c>
      <c r="V16" s="98" t="s">
        <v>36</v>
      </c>
      <c r="W16" s="120">
        <f t="shared" si="4"/>
        <v>0.80035107169253505</v>
      </c>
      <c r="X16" s="310">
        <f t="shared" si="5"/>
        <v>0.80035107169253505</v>
      </c>
      <c r="Y16" s="131" t="s">
        <v>469</v>
      </c>
      <c r="Z16" s="98">
        <f>298+636+713</f>
        <v>1647</v>
      </c>
      <c r="AA16" s="223" t="s">
        <v>259</v>
      </c>
      <c r="AB16" s="223" t="s">
        <v>870</v>
      </c>
      <c r="AC16" s="223" t="s">
        <v>801</v>
      </c>
      <c r="AD16" s="223" t="s">
        <v>801</v>
      </c>
    </row>
    <row r="17" spans="1:30" s="79" customFormat="1" ht="93.75" customHeight="1">
      <c r="A17" s="277" t="s">
        <v>128</v>
      </c>
      <c r="B17" s="316">
        <v>43563</v>
      </c>
      <c r="C17" s="248" t="s">
        <v>461</v>
      </c>
      <c r="D17" s="248" t="s">
        <v>337</v>
      </c>
      <c r="E17" s="248" t="s">
        <v>470</v>
      </c>
      <c r="F17" s="220" t="s">
        <v>471</v>
      </c>
      <c r="G17" s="182">
        <f>K17</f>
        <v>20329185</v>
      </c>
      <c r="H17" s="249">
        <v>0</v>
      </c>
      <c r="I17" s="249"/>
      <c r="J17" s="249"/>
      <c r="K17" s="249">
        <v>20329185</v>
      </c>
      <c r="L17" s="182">
        <f t="shared" si="2"/>
        <v>10045853.98</v>
      </c>
      <c r="M17" s="182">
        <v>0</v>
      </c>
      <c r="N17" s="182"/>
      <c r="O17" s="249"/>
      <c r="P17" s="249">
        <v>10045853.98</v>
      </c>
      <c r="Q17" s="182">
        <f t="shared" si="3"/>
        <v>10283331.02</v>
      </c>
      <c r="R17" s="250">
        <f t="shared" si="0"/>
        <v>0</v>
      </c>
      <c r="S17" s="251"/>
      <c r="T17" s="251"/>
      <c r="U17" s="317">
        <f t="shared" si="6"/>
        <v>10283331.02</v>
      </c>
      <c r="V17" s="98" t="s">
        <v>36</v>
      </c>
      <c r="W17" s="310">
        <f t="shared" si="4"/>
        <v>0.49415920903863092</v>
      </c>
      <c r="X17" s="310">
        <f t="shared" si="5"/>
        <v>0.49415920903863092</v>
      </c>
      <c r="Y17" s="252" t="s">
        <v>472</v>
      </c>
      <c r="Z17" s="254">
        <f>2916+2916+1458+1458+180+140000</f>
        <v>148928</v>
      </c>
      <c r="AA17" s="253">
        <v>148928</v>
      </c>
      <c r="AB17" s="223" t="s">
        <v>870</v>
      </c>
      <c r="AC17" s="223" t="s">
        <v>801</v>
      </c>
      <c r="AD17" s="223" t="s">
        <v>801</v>
      </c>
    </row>
    <row r="18" spans="1:30" s="79" customFormat="1" ht="41.25" customHeight="1">
      <c r="A18" s="277" t="s">
        <v>128</v>
      </c>
      <c r="B18" s="316">
        <v>43563</v>
      </c>
      <c r="C18" s="248" t="s">
        <v>461</v>
      </c>
      <c r="D18" s="248" t="s">
        <v>337</v>
      </c>
      <c r="E18" s="248" t="s">
        <v>473</v>
      </c>
      <c r="F18" s="220" t="s">
        <v>474</v>
      </c>
      <c r="G18" s="182">
        <f>K18</f>
        <v>936000</v>
      </c>
      <c r="H18" s="249">
        <v>0</v>
      </c>
      <c r="I18" s="249"/>
      <c r="J18" s="249"/>
      <c r="K18" s="249">
        <v>936000</v>
      </c>
      <c r="L18" s="182">
        <f t="shared" si="2"/>
        <v>0</v>
      </c>
      <c r="M18" s="182">
        <v>0</v>
      </c>
      <c r="N18" s="182"/>
      <c r="O18" s="249"/>
      <c r="P18" s="249">
        <v>0</v>
      </c>
      <c r="Q18" s="182">
        <f t="shared" si="3"/>
        <v>936000</v>
      </c>
      <c r="R18" s="250">
        <f t="shared" si="0"/>
        <v>0</v>
      </c>
      <c r="S18" s="251"/>
      <c r="T18" s="251"/>
      <c r="U18" s="317">
        <f t="shared" si="6"/>
        <v>936000</v>
      </c>
      <c r="V18" s="98" t="s">
        <v>259</v>
      </c>
      <c r="W18" s="310">
        <f t="shared" si="4"/>
        <v>0</v>
      </c>
      <c r="X18" s="310">
        <f t="shared" si="5"/>
        <v>0</v>
      </c>
      <c r="Y18" s="252" t="s">
        <v>475</v>
      </c>
      <c r="Z18" s="254">
        <v>1</v>
      </c>
      <c r="AA18" s="253" t="s">
        <v>872</v>
      </c>
      <c r="AB18" s="223" t="s">
        <v>259</v>
      </c>
      <c r="AC18" s="223" t="s">
        <v>259</v>
      </c>
      <c r="AD18" s="223" t="s">
        <v>259</v>
      </c>
    </row>
    <row r="19" spans="1:30" s="79" customFormat="1" ht="69.75" customHeight="1" thickBot="1">
      <c r="A19" s="217" t="s">
        <v>128</v>
      </c>
      <c r="B19" s="218">
        <v>43563</v>
      </c>
      <c r="C19" s="219" t="s">
        <v>461</v>
      </c>
      <c r="D19" s="219" t="s">
        <v>337</v>
      </c>
      <c r="E19" s="219" t="s">
        <v>476</v>
      </c>
      <c r="F19" s="220" t="s">
        <v>477</v>
      </c>
      <c r="G19" s="93">
        <f>H19</f>
        <v>6613703.7999999998</v>
      </c>
      <c r="H19" s="94">
        <v>6613703.7999999998</v>
      </c>
      <c r="I19" s="94"/>
      <c r="J19" s="94"/>
      <c r="K19" s="94">
        <v>0</v>
      </c>
      <c r="L19" s="93">
        <f>M19</f>
        <v>4350872.9700000007</v>
      </c>
      <c r="M19" s="93">
        <f>2908226.65+483522.91+480720.43+478402.98</f>
        <v>4350872.9700000007</v>
      </c>
      <c r="N19" s="93"/>
      <c r="O19" s="94"/>
      <c r="P19" s="94">
        <v>0</v>
      </c>
      <c r="Q19" s="93">
        <f>R19</f>
        <v>2262830.8299999991</v>
      </c>
      <c r="R19" s="255">
        <f>H19-M19</f>
        <v>2262830.8299999991</v>
      </c>
      <c r="S19" s="222"/>
      <c r="T19" s="222"/>
      <c r="U19" s="222">
        <v>0</v>
      </c>
      <c r="V19" s="98" t="s">
        <v>259</v>
      </c>
      <c r="W19" s="120">
        <f t="shared" si="4"/>
        <v>0.65785724634356935</v>
      </c>
      <c r="X19" s="310">
        <f t="shared" si="5"/>
        <v>0.65785724634356935</v>
      </c>
      <c r="Y19" s="131" t="s">
        <v>478</v>
      </c>
      <c r="Z19" s="98">
        <v>1</v>
      </c>
      <c r="AA19" s="223" t="s">
        <v>479</v>
      </c>
      <c r="AB19" s="223" t="s">
        <v>259</v>
      </c>
      <c r="AC19" s="223" t="s">
        <v>259</v>
      </c>
      <c r="AD19" s="223" t="s">
        <v>259</v>
      </c>
    </row>
    <row r="20" spans="1:30" s="79" customFormat="1" ht="13.5" customHeight="1" thickTop="1" thickBot="1">
      <c r="A20" s="104"/>
      <c r="B20" s="104"/>
      <c r="C20" s="104"/>
      <c r="D20" s="104"/>
      <c r="E20" s="104"/>
      <c r="F20" s="107" t="s">
        <v>37</v>
      </c>
      <c r="G20" s="108">
        <f>SUM(G14:G19)</f>
        <v>39682222.799999997</v>
      </c>
      <c r="H20" s="108">
        <f>SUM(H19:H19)</f>
        <v>6613703.7999999998</v>
      </c>
      <c r="I20" s="108" t="e">
        <f>SUM(#REF!)</f>
        <v>#REF!</v>
      </c>
      <c r="J20" s="108" t="e">
        <f>SUM(#REF!)</f>
        <v>#REF!</v>
      </c>
      <c r="K20" s="108">
        <f>SUM(K14:K19)</f>
        <v>33068519</v>
      </c>
      <c r="L20" s="108">
        <f>SUM(L14:L19)</f>
        <v>24105744</v>
      </c>
      <c r="M20" s="108">
        <f>SUM(M14:M19)</f>
        <v>4350872.9700000007</v>
      </c>
      <c r="N20" s="108" t="e">
        <f>SUM(#REF!)</f>
        <v>#REF!</v>
      </c>
      <c r="O20" s="108" t="e">
        <f>SUM(#REF!)</f>
        <v>#REF!</v>
      </c>
      <c r="P20" s="108">
        <f>SUM(P14:P19)</f>
        <v>19754871.030000001</v>
      </c>
      <c r="Q20" s="108">
        <f>SUM(Q14:Q19)</f>
        <v>15576478.799999997</v>
      </c>
      <c r="R20" s="108">
        <f>SUM(R14:T19)</f>
        <v>2262830.8299999991</v>
      </c>
      <c r="S20" s="108" t="e">
        <f>SUM(#REF!)</f>
        <v>#REF!</v>
      </c>
      <c r="T20" s="108" t="e">
        <f>SUM(#REF!)</f>
        <v>#REF!</v>
      </c>
      <c r="U20" s="108">
        <f>SUM(U14:U19)</f>
        <v>13313647.969999999</v>
      </c>
      <c r="V20" s="115"/>
      <c r="W20" s="236"/>
      <c r="X20" s="86"/>
      <c r="Y20" s="280"/>
      <c r="Z20" s="113"/>
      <c r="AA20" s="113"/>
      <c r="AB20" s="106"/>
      <c r="AC20" s="86"/>
      <c r="AD20" s="86"/>
    </row>
    <row r="21" spans="1:30" s="79" customFormat="1" ht="15.75" thickTop="1">
      <c r="A21" s="300"/>
      <c r="B21" s="296"/>
      <c r="C21" s="296"/>
      <c r="D21" s="296"/>
      <c r="E21" s="296"/>
      <c r="F21" s="296"/>
      <c r="G21" s="295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296"/>
      <c r="S21" s="296"/>
      <c r="T21" s="296"/>
      <c r="U21" s="296"/>
      <c r="V21" s="301"/>
      <c r="W21" s="296"/>
      <c r="X21" s="296"/>
      <c r="Y21" s="297"/>
      <c r="Z21" s="298"/>
      <c r="AA21" s="298"/>
      <c r="AB21" s="299"/>
      <c r="AC21" s="296"/>
      <c r="AD21" s="296"/>
    </row>
    <row r="22" spans="1:30" s="79" customFormat="1">
      <c r="A22" s="117" t="s">
        <v>38</v>
      </c>
      <c r="B22" s="86"/>
      <c r="C22" s="86"/>
      <c r="D22" s="86"/>
      <c r="E22" s="86"/>
      <c r="F22" s="86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  <c r="S22" s="116"/>
      <c r="T22" s="116"/>
      <c r="U22" s="116"/>
      <c r="V22" s="115"/>
      <c r="W22" s="86"/>
      <c r="X22" s="86"/>
      <c r="Y22" s="280"/>
      <c r="Z22" s="113"/>
      <c r="AA22" s="113"/>
      <c r="AB22" s="106"/>
      <c r="AC22" s="86"/>
      <c r="AD22" s="86"/>
    </row>
    <row r="23" spans="1:30">
      <c r="L23" s="2"/>
    </row>
    <row r="24" spans="1:30">
      <c r="L24" s="2"/>
    </row>
    <row r="25" spans="1:30">
      <c r="L25" s="13"/>
    </row>
    <row r="26" spans="1:30">
      <c r="L26" s="13"/>
    </row>
  </sheetData>
  <mergeCells count="15">
    <mergeCell ref="Y13:Z13"/>
    <mergeCell ref="A8:B8"/>
    <mergeCell ref="A9:B9"/>
    <mergeCell ref="G12:K12"/>
    <mergeCell ref="C6:E6"/>
    <mergeCell ref="C7:E7"/>
    <mergeCell ref="C8:E8"/>
    <mergeCell ref="C9:E9"/>
    <mergeCell ref="L12:P12"/>
    <mergeCell ref="Q12:U12"/>
    <mergeCell ref="A2:B3"/>
    <mergeCell ref="C2:AD2"/>
    <mergeCell ref="C3:AD3"/>
    <mergeCell ref="A6:B6"/>
    <mergeCell ref="A7:B7"/>
  </mergeCells>
  <printOptions horizontalCentered="1"/>
  <pageMargins left="0.11811023622047245" right="0.31496062992125984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RESUMEN</vt:lpstr>
      <vt:lpstr>PDM</vt:lpstr>
      <vt:lpstr>FORTAMUNDF</vt:lpstr>
      <vt:lpstr>FISMDF</vt:lpstr>
      <vt:lpstr>FOREMOBA</vt:lpstr>
      <vt:lpstr>FORTASEG</vt:lpstr>
      <vt:lpstr>FOREMOBA!Área_de_impresión</vt:lpstr>
      <vt:lpstr>FORTAMUNDF!Área_de_impresión</vt:lpstr>
      <vt:lpstr>FORTASEG!Área_de_impresión</vt:lpstr>
      <vt:lpstr>PDM!Área_de_impresión</vt:lpstr>
      <vt:lpstr>RESUMEN!Área_de_impresión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Lourdes Ortiz Diaz</cp:lastModifiedBy>
  <cp:lastPrinted>2019-10-14T17:22:22Z</cp:lastPrinted>
  <dcterms:created xsi:type="dcterms:W3CDTF">2018-01-26T00:48:08Z</dcterms:created>
  <dcterms:modified xsi:type="dcterms:W3CDTF">2019-10-14T17:23:32Z</dcterms:modified>
</cp:coreProperties>
</file>